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Dashboard" sheetId="3" state="visible" r:id="rId5"/>
    <sheet name="Menu Items" sheetId="4" state="visible" r:id="rId6"/>
    <sheet name="Menu Engineering" sheetId="5" state="visible" r:id="rId7"/>
    <sheet name="What Comes Next" sheetId="6" state="visible" r:id="rId8"/>
  </sheets>
  <definedNames>
    <definedName function="false" hidden="false" localSheetId="2" name="_xlnm.Print_Area" vbProcedure="false">Dashboard!$A$1:$H$37</definedName>
    <definedName function="false" hidden="false" localSheetId="0" name="_xlnm.Print_Area" vbProcedure="false">'How to Use'!$A$1:$C$56</definedName>
    <definedName function="false" hidden="false" localSheetId="4" name="_xlnm.Print_Area" vbProcedure="false">'Menu Engineering'!$A$1:$I$29</definedName>
    <definedName function="false" hidden="false" localSheetId="4" name="_xlnm.Print_Titles" vbProcedure="false">'Menu Engineering'!$5:$5</definedName>
    <definedName function="false" hidden="false" localSheetId="3" name="_xlnm.Print_Area" vbProcedure="false">'Menu Items'!$A$1:$N$21</definedName>
    <definedName function="false" hidden="false" localSheetId="1" name="_xlnm.Print_Area" vbProcedure="false">Settings!$A$1:$E$33</definedName>
    <definedName function="false" hidden="false" localSheetId="5" name="_xlnm.Print_Area" vbProcedure="false">'What Comes Next'!$A$1:$E$59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<sst xmlns="http://schemas.openxmlformats.org/spreadsheetml/2006/main" count="269" uniqueCount="239">
  <si>
    <t xml:space="preserve">Menu Engineering Workbook - Free Edition</t>
  </si>
  <si>
    <t xml:space="preserve">The numbers behind the counter</t>
  </si>
  <si>
    <t xml:space="preserve">WHAT THIS FILE IS FOR</t>
  </si>
  <si>
    <t xml:space="preserve">The free edition of the Menu Engineering Workbook. Costing tells you what a dish makes; this tells you what to do about it. Put one month of till data against your costs and it sorts every item into one of four boxes - protect it, fix it, promote it, or remove it. Twenty items, so you can run the method on your top sellers before you buy the full file.</t>
  </si>
  <si>
    <t xml:space="preserve">WHO IT IS FOR</t>
  </si>
  <si>
    <t xml:space="preserve">Owner</t>
  </si>
  <si>
    <t xml:space="preserve">Shows which items carry the business and which are quietly costing it money.</t>
  </si>
  <si>
    <t xml:space="preserve">General manager</t>
  </si>
  <si>
    <t xml:space="preserve">Turns an argument about the menu into a list with names on it.</t>
  </si>
  <si>
    <t xml:space="preserve">Head chef</t>
  </si>
  <si>
    <t xml:space="preserve">Says where to take cost out, and which dishes to leave alone.</t>
  </si>
  <si>
    <t xml:space="preserve">Marketing</t>
  </si>
  <si>
    <t xml:space="preserve">Says what a promotion has to deliver before it is worth running.</t>
  </si>
  <si>
    <t xml:space="preserve">THE SHEETS IN THIS FILE</t>
  </si>
  <si>
    <t xml:space="preserve">Settings</t>
  </si>
  <si>
    <t xml:space="preserve">Your country and VAT rate, the popularity rule, and your delivery platforms.</t>
  </si>
  <si>
    <t xml:space="preserve">Dashboard</t>
  </si>
  <si>
    <t xml:space="preserve">Total contribution, the four boxes, where the money really comes from, and the one thing to do next.</t>
  </si>
  <si>
    <t xml:space="preserve">Menu Items</t>
  </si>
  <si>
    <t xml:space="preserve">Twelve rows. Cost and price from your costing file, units sold from your till. This is the only sheet you type into.</t>
  </si>
  <si>
    <t xml:space="preserve">Menu Engineering</t>
  </si>
  <si>
    <t xml:space="preserve">Every item classified, with a specific action for each of the four boxes.</t>
  </si>
  <si>
    <t xml:space="preserve">What Comes Next</t>
  </si>
  <si>
    <t xml:space="preserve">Your own twelve rows read back to you, and what the full workbook does that this one cannot.</t>
  </si>
  <si>
    <t xml:space="preserve">HOW TO USE IT</t>
  </si>
  <si>
    <t xml:space="preserve">1.  Settings: pick your country, then put in your delivery platforms and their real commission.</t>
  </si>
  <si>
    <t xml:space="preserve">2.  Menu Items: paste your costs and prices from your costing file, then export one month of item sales from your till and paste the units into the blue column. That is the whole input.</t>
  </si>
  <si>
    <t xml:space="preserve">3.  Dashboard: read the four boxes and the verdict at the bottom.</t>
  </si>
  <si>
    <t xml:space="preserve">4.  Menu Engineering: work down the list. Each item has a box and a specific action.</t>
  </si>
  <si>
    <t xml:space="preserve">5.  Offer Modelling: before you agree to any platform promotion, look the item up here and read the extra sales it would need. Refuse anything over about fifty per cent.</t>
  </si>
  <si>
    <t xml:space="preserve">6.  Come back in a month and run it again. The classifications move, and the ones that move are the ones that tell you something.</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</si>
  <si>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</si>
  <si>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</si>
  <si>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</si>
  <si>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</si>
  <si>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WHERE THE COSTS COME FROM</t>
  </si>
  <si>
    <t xml:space="preserve">This workbook needs a cost per portion for every item. Recipes and Costing works those out properly, with yield, sub-recipes and a single ingredient list - copy the cost column straight across. backofhouseco.com</t>
  </si>
  <si>
    <t xml:space="preserve">WHAT THE FULL WORKBOOK ADDS</t>
  </si>
  <si>
    <t xml:space="preserve">This free edition carries twelve item rows and the four-box classification. The paid workbook carries seventy rows, and adds Offer Modelling: a percentage off, buy one get one free, and an amount you absorb, modelled against every item at once, with the extra volume each one needs before it pays for itself - and a plain NEVER PAYS BACK where the margin goes to nothing. backofhouseco.com</t>
  </si>
  <si>
    <t xml:space="preserve">WHAT THIS FILE ASSUMES</t>
  </si>
  <si>
    <t xml:space="preserve">-  Contribution is the price EXCLUDING VAT less the cost of making the dish. Rent, roster and overheads are not in it - they are not caused by one more sale of one dish.</t>
  </si>
  <si>
    <t xml:space="preserve">-  An item is popular if its share of units beats an even share by the percentage on Settings. Seventy per cent is the industry standard.</t>
  </si>
  <si>
    <t xml:space="preserve">-  An item is profitable if its contribution per unit is at or above the average across the menu.</t>
  </si>
  <si>
    <t xml:space="preserve">-  Offer Modelling assumes a promotion does not change what else the customer buys. In practice a discount pulls the order towards the discounted item, so the real answer is worse.</t>
  </si>
  <si>
    <t xml:space="preserve">WHAT IT DOES NOT DO</t>
  </si>
  <si>
    <t xml:space="preserve">It works on one outlet and one month at a time. It does not hold your recipes or re-cost a dish when a supplier price changes - that is what the costing file is for - and it cannot tell you why an item is slow, only that it is.</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</si>
  <si>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</si>
  <si>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</si>
  <si>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</si>
  <si>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</si>
  <si>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</si>
  <si>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</si>
  <si>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Set this sheet once. The whole workbook reads from it.</t>
  </si>
  <si>
    <t xml:space="preserve">Country rules - used by the dropdown. Do not edit.</t>
  </si>
  <si>
    <t xml:space="preserve">YOUR OUTLET</t>
  </si>
  <si>
    <t xml:space="preserve">United Arab Emirates</t>
  </si>
  <si>
    <t xml:space="preserve">AED</t>
  </si>
  <si>
    <t xml:space="preserve">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t>
  </si>
  <si>
    <t xml:space="preserve">Outlet name</t>
  </si>
  <si>
    <t xml:space="preserve">Your cafe</t>
  </si>
  <si>
    <t xml:space="preserve">Saudi Arabia</t>
  </si>
  <si>
    <t xml:space="preserve">SAR</t>
  </si>
  <si>
    <t xml:space="preserve">The 2.5% shown is zakat, which is charged on net worth rather than on profit - so treat the tax line here as an estimate, not a calculation. A non-Saudi ownership share is taxed at 20% of profit instead. End-of-service is half a month a year for the first five years. The 2% is the expatriate GOSI rate; Saudisation quotas mean part of your roster will carry the national rate of 11.75% and rising.</t>
  </si>
  <si>
    <t xml:space="preserve">Period these sales cover</t>
  </si>
  <si>
    <t xml:space="preserve">One month</t>
  </si>
  <si>
    <t xml:space="preserve">A month. A week is too short - one wet Tuesday distorts it</t>
  </si>
  <si>
    <t xml:space="preserve">Qatar</t>
  </si>
  <si>
    <t xml:space="preserve">QAR</t>
  </si>
  <si>
    <t xml:space="preserve">No corporate tax while the company is wholly owned by Qatari or GCC nationals resident in Qatar. Any foreign ownership share is taxed at 10%. End-of-service is 21 days of basic wage a year. Expatriate staff carry no employer social security; Qataris carry 14%.</t>
  </si>
  <si>
    <t xml:space="preserve">Kuwait</t>
  </si>
  <si>
    <t xml:space="preserve">KWD</t>
  </si>
  <si>
    <t xml:space="preserve">No corporate tax while the company is wholly Kuwaiti or GCC owned. A foreign ownership share is taxed at 15%. End-of-service is 15 days of basic wage a year for the first five years. Expatriate staff carry no employer social security; Kuwaitis carry 11.5%.</t>
  </si>
  <si>
    <t xml:space="preserve">WHERE YOU TRADE  -  pick the country and the VAT rate follows</t>
  </si>
  <si>
    <t xml:space="preserve">Bahrain</t>
  </si>
  <si>
    <t xml:space="preserve">BHD</t>
  </si>
  <si>
    <t xml:space="preserve">No corporate tax outside oil and gas. End-of-service for expatriate staff changed in March 2024 - it is now a monthly contribution to the SIO of 4.2% for the first three years and 8.4% after that, and it is charged on the CONTRACTUAL wage, not on basic alone, so raise the figure if your basic is only part of the package. Employer work-injury cover is 3% on top. Bahraini nationals carry 18% and no gratuity.</t>
  </si>
  <si>
    <t xml:space="preserve">Country you trade in</t>
  </si>
  <si>
    <t xml:space="preserve">Ten markets. Everything below fills in from your choice</t>
  </si>
  <si>
    <t xml:space="preserve">Oman</t>
  </si>
  <si>
    <t xml:space="preserve">OMR</t>
  </si>
  <si>
    <t xml:space="preserve">Corporate tax is 15% from the first rial. End-of-service is one month of basic wage for every year of service. The 14.5% shown is the OMANI social security rate - the position for expatriate staff is unsettled and may be nil or close to it, so confirm it with the Social Protection Fund before you budget on this line. It is the one number in this table we would not build a lease decision on.</t>
  </si>
  <si>
    <t xml:space="preserve">Egypt</t>
  </si>
  <si>
    <t xml:space="preserve">EGP</t>
  </si>
  <si>
    <t xml:space="preserve">Corporate tax is 22.5%. There is no end-of-service gratuity - the funded social insurance pension replaces it, which is why the employer rate is 18.75% rather than the Gulf's nil. A turnover-based regime for businesses under EGP 20 million turnover can cost far less than 22.5% - ask about it before you file.</t>
  </si>
  <si>
    <t xml:space="preserve">From your country</t>
  </si>
  <si>
    <t xml:space="preserve">Your own figure</t>
  </si>
  <si>
    <t xml:space="preserve">Used in the model</t>
  </si>
  <si>
    <t xml:space="preserve">Jordan</t>
  </si>
  <si>
    <t xml:space="preserve">JOD</t>
  </si>
  <si>
    <t xml:space="preserve">Corporate tax is 20% plus a 1% national contribution, so 21% all in. There is no end-of-service gratuity for staff covered by social security, which is now most of them. Employer social security is 14.25%.</t>
  </si>
  <si>
    <t xml:space="preserve">Currency</t>
  </si>
  <si>
    <t xml:space="preserve">A label, not a conversion - the file does no exchange-rate maths</t>
  </si>
  <si>
    <t xml:space="preserve">United Kingdom</t>
  </si>
  <si>
    <t xml:space="preserve">GBP</t>
  </si>
  <si>
    <t xml:space="preserve">Corporate tax is 19% on profit up to GBP 50,000, tapering to 25% above GBP 250,000. There is no end-of-service accrual - statutory redundancy pay is an event, not a monthly cost. Employer National Insurance is 15% above GBP 5,000 a year per head, and the Employment Allowance may cover a large part of that for a single site. Workplace pension of at least 3% is on top and is not in this figure.</t>
  </si>
  <si>
    <t xml:space="preserve">VAT on restaurant sales</t>
  </si>
  <si>
    <t xml:space="preserve">Qatar and Kuwait charge none. The USA has sales tax, not VAT - it varies by state</t>
  </si>
  <si>
    <t xml:space="preserve">United States</t>
  </si>
  <si>
    <t xml:space="preserve">USD</t>
  </si>
  <si>
    <t xml:space="preserve">Federal corporate tax is 21%, plus state corporate tax of roughly 1% to 10% depending where you trade - add it to the rate. There is no end-of-service accrual. The 7.65% is the employer share of FICA only; federal and state unemployment insurance is extra and runs high in restaurants because of staff turnover, so budget more than this.</t>
  </si>
  <si>
    <t xml:space="preserve">Other - not listed</t>
  </si>
  <si>
    <t xml:space="preserve">Your market is not in the list. Put your own figures in the middle column and they will be used instead. Your accountant can give you all four in five minutes.</t>
  </si>
  <si>
    <t xml:space="preserve">Pick the country and the currency and the four local rules below fill in on their own. They are a starting point set by a consultant, not tax advice - if your accountant gives you a different figure, type it in the middle column and the model will use yours instead. Rules as at 15 September 2026.</t>
  </si>
  <si>
    <t xml:space="preserve">One dropdown drives both, on purpose. If country and currency were two separate dropdowns they could disagree with each other, and a model that says Egypt in one cell and dirhams in another is a model nobody trusts. To report in a different currency from the country you trade in, type it in the middle column below - the country rules stay as they are.</t>
  </si>
  <si>
    <t xml:space="preserve">THE POPULARITY RULE</t>
  </si>
  <si>
    <t xml:space="preserve">An item counts as popular above this share of an even split</t>
  </si>
  <si>
    <t xml:space="preserve">70% is the industry standard - leave it alone unless you know why</t>
  </si>
  <si>
    <t xml:space="preserve">This is the only judgement call in menu engineering, and it is worth understanding. If every item sold equally, each would take the same share. An item is POPULAR if it beats that even share by the percentage above. Lower the figure and more items qualify as popular; raise it and fewer do.</t>
  </si>
  <si>
    <t xml:space="preserve">DELIVERY PLATFORMS</t>
  </si>
  <si>
    <t xml:space="preserve">Platform</t>
  </si>
  <si>
    <t xml:space="preserve">Name on the app</t>
  </si>
  <si>
    <t xml:space="preserve">Commission</t>
  </si>
  <si>
    <t xml:space="preserve">Platform 1</t>
  </si>
  <si>
    <t xml:space="preserve">Talabat</t>
  </si>
  <si>
    <t xml:space="preserve">Platform 2</t>
  </si>
  <si>
    <t xml:space="preserve">Deliveroo</t>
  </si>
  <si>
    <t xml:space="preserve">Platform 3</t>
  </si>
  <si>
    <t xml:space="preserve">Careem</t>
  </si>
  <si>
    <t xml:space="preserve">Platform 4</t>
  </si>
  <si>
    <t xml:space="preserve">Noon Food</t>
  </si>
  <si>
    <t xml:space="preserve">Platform 5</t>
  </si>
  <si>
    <t xml:space="preserve">Own delivery</t>
  </si>
  <si>
    <t xml:space="preserve">Order handling labour, per delivery order</t>
  </si>
  <si>
    <t xml:space="preserve">The minutes somebody spends packing it</t>
  </si>
  <si>
    <t xml:space="preserve">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</si>
  <si>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THE HEADLINE</t>
  </si>
  <si>
    <t xml:space="preserve">ITEMS SOLD</t>
  </si>
  <si>
    <t xml:space="preserve">THE FOUR BOXES</t>
  </si>
  <si>
    <t xml:space="preserve">How many</t>
  </si>
  <si>
    <t xml:space="preserve">Share of units</t>
  </si>
  <si>
    <t xml:space="preserve">Share of contribution</t>
  </si>
  <si>
    <t xml:space="preserve">Stars</t>
  </si>
  <si>
    <t xml:space="preserve">Sells well, earns well</t>
  </si>
  <si>
    <t xml:space="preserve">Plough-horses</t>
  </si>
  <si>
    <t xml:space="preserve">Sells well, earns little</t>
  </si>
  <si>
    <t xml:space="preserve">Puzzles</t>
  </si>
  <si>
    <t xml:space="preserve">Earns well, nobody buys it</t>
  </si>
  <si>
    <t xml:space="preserve">Dogs</t>
  </si>
  <si>
    <t xml:space="preserve">Neither - take them off</t>
  </si>
  <si>
    <t xml:space="preserve">WHERE THE MONEY ACTUALLY COMES FROM</t>
  </si>
  <si>
    <t xml:space="preserve">Your ten biggest earners take this share of all contribution</t>
  </si>
  <si>
    <t xml:space="preserve">Your twenty smallest earners take this share</t>
  </si>
  <si>
    <t xml:space="preserve">Items earning below the menu average</t>
  </si>
  <si>
    <t xml:space="preserve">HOW TO READ THIS</t>
  </si>
  <si>
    <t xml:space="preserve">Contribution, not percentage</t>
  </si>
  <si>
    <t xml:space="preserve">A coffee at 85% gross profit earns 13 dirhams. A burger at 68% earns 28. Percentage tells you how efficient a dish is; contribution tells you what it pays you. Menu engineering uses contribution, and that is why it disagrees with your food cost report.</t>
  </si>
  <si>
    <t xml:space="preserve">Popularity is relative</t>
  </si>
  <si>
    <t xml:space="preserve">An item is popular if it beats its fair share of the menu, not if it sells a lot in absolute terms. Change the number of items on the menu and the bar moves.</t>
  </si>
  <si>
    <t xml:space="preserve">One month, not one week</t>
  </si>
  <si>
    <t xml:space="preserve">Run this on a full month of till data. A week is too short - a wet Tuesday or a long weekend will reclassify half your menu.</t>
  </si>
  <si>
    <t xml:space="preserve">The only thing this workbook needs that a costing file does not have is UNITS SOLD. Export one month of item sales from your till, paste the numbers into the blue column, and the rest of the workbook comes alive.</t>
  </si>
  <si>
    <t xml:space="preserve">Twelve rows. Eight are filled with a worked cafe example - type straight over it.</t>
  </si>
  <si>
    <t xml:space="preserve">Item</t>
  </si>
  <si>
    <t xml:space="preserve">Category</t>
  </si>
  <si>
    <t xml:space="preserve">Margin group</t>
  </si>
  <si>
    <t xml:space="preserve">Cost</t>
  </si>
  <si>
    <t xml:space="preserve">Price INC VAT</t>
  </si>
  <si>
    <t xml:space="preserve">Price EX VAT</t>
  </si>
  <si>
    <t xml:space="preserve">Contribution</t>
  </si>
  <si>
    <t xml:space="preserve">Contribution %</t>
  </si>
  <si>
    <t xml:space="preserve">Units sold</t>
  </si>
  <si>
    <t xml:space="preserve">Sales EX VAT</t>
  </si>
  <si>
    <t xml:space="preserve">Total contribution</t>
  </si>
  <si>
    <t xml:space="preserve">% of units</t>
  </si>
  <si>
    <t xml:space="preserve">% of contribution</t>
  </si>
  <si>
    <t xml:space="preserve">Packaging</t>
  </si>
  <si>
    <t xml:space="preserve">Tuna Melt Sandwich</t>
  </si>
  <si>
    <t xml:space="preserve">Core</t>
  </si>
  <si>
    <t xml:space="preserve">Food</t>
  </si>
  <si>
    <t xml:space="preserve">Chicken Fattoush</t>
  </si>
  <si>
    <t xml:space="preserve">Smoked Turkey Club</t>
  </si>
  <si>
    <t xml:space="preserve">Americano</t>
  </si>
  <si>
    <t xml:space="preserve">Beverages</t>
  </si>
  <si>
    <t xml:space="preserve">Coffee &amp; Tea</t>
  </si>
  <si>
    <t xml:space="preserve">Granola and Yoghurt Bowl</t>
  </si>
  <si>
    <t xml:space="preserve">Acai Bowl</t>
  </si>
  <si>
    <t xml:space="preserve">Quinoa and Halloumi Salad</t>
  </si>
  <si>
    <t xml:space="preserve">Hummus and Bread</t>
  </si>
  <si>
    <t xml:space="preserve">Sides</t>
  </si>
  <si>
    <t xml:space="preserve">TOTAL</t>
  </si>
  <si>
    <t xml:space="preserve">Average per unit:</t>
  </si>
  <si>
    <t xml:space="preserve">Contribution is the price EXCLUDING VAT less what the dish costs to make. It is the money each sale leaves behind to pay the rent, the roster and everything else - and it is the number menu engineering is built on, not gross profit percentage.</t>
  </si>
  <si>
    <t xml:space="preserve">Two questions, asked of every item. Does it sell more than its fair share? Does it earn more than the average item? The answers put it in one of four boxes, and each box has a different job.</t>
  </si>
  <si>
    <t xml:space="preserve">Units</t>
  </si>
  <si>
    <t xml:space="preserve">Popular?</t>
  </si>
  <si>
    <t xml:space="preserve">Above average?</t>
  </si>
  <si>
    <t xml:space="preserve">What it is</t>
  </si>
  <si>
    <t xml:space="preserve">What to do about it</t>
  </si>
  <si>
    <t xml:space="preserve">THE FOUR BOXES, AND WHAT EACH ONE IS FOR</t>
  </si>
  <si>
    <t xml:space="preserve">Star  -  sells well, earns well</t>
  </si>
  <si>
    <t xml:space="preserve">These are the business. Do not change the recipe, do not quietly cut the portion, do not move it off the top of the menu, and do not let it run out - a Star that is unavailable at lunchtime is a day's profit gone. If you photograph one dish, photograph this one.</t>
  </si>
  <si>
    <t xml:space="preserve">Plough-horse  -  sells well, earns little</t>
  </si>
  <si>
    <t xml:space="preserve">The volume is already there, which is why a small change here is worth more than a big change anywhere else. Take cost out first: check the portion against the recipe, then the dearest two lines, then the supplier. Raise the price last and raise it by a little - volume is the thing you must not lose.</t>
  </si>
  <si>
    <t xml:space="preserve">Puzzle  -  earns well, nobody buys it</t>
  </si>
  <si>
    <t xml:space="preserve">A menu and service problem, not a kitchen problem, and the cheapest one on this page to fix. Move it up the page, give it a photograph, rename it, or train one line of upsell. Give it a fair trial of a month. If it still will not sell, it is a Dog and you should treat it like one.</t>
  </si>
  <si>
    <t xml:space="preserve">Dog  -  neither</t>
  </si>
  <si>
    <t xml:space="preserve">Take it off. A shorter menu is faster to cook, cheaper to hold stock for and easier to do well. The exception is an item you keep deliberately - a vegan option, a child's portion, the thing a regular always orders. Keep those on purpose, not by accident.</t>
  </si>
  <si>
    <t xml:space="preserve">What comes next</t>
  </si>
  <si>
    <t xml:space="preserve">Menu Engineering Workbook — Free Edition</t>
  </si>
  <si>
    <t xml:space="preserve">WHAT THIS FILE FOUND IN YOUR NUMBERS</t>
  </si>
  <si>
    <t xml:space="preserve">Calculated from what you typed. Not an estimate, not an average.</t>
  </si>
  <si>
    <t xml:space="preserve">Items placed</t>
  </si>
  <si>
    <t xml:space="preserve">Stars — sell well, earn well</t>
  </si>
  <si>
    <t xml:space="preserve">Not Stars — need a decision</t>
  </si>
  <si>
    <t xml:space="preserve">Contribution these items make</t>
  </si>
  <si>
    <t xml:space="preserve">FREE EDITION AND FULL VERSION, SIDE BY SIDE</t>
  </si>
  <si>
    <t xml:space="preserve">Free edition</t>
  </si>
  <si>
    <t xml:space="preserve">Full version</t>
  </si>
  <si>
    <t xml:space="preserve">Item rows</t>
  </si>
  <si>
    <t xml:space="preserve">12</t>
  </si>
  <si>
    <t xml:space="preserve">70</t>
  </si>
  <si>
    <t xml:space="preserve">Four-box classification</t>
  </si>
  <si>
    <t xml:space="preserve">Yes</t>
  </si>
  <si>
    <t xml:space="preserve">Offer modelling — percentage off, buy one get one, absorbed</t>
  </si>
  <si>
    <t xml:space="preserve">—</t>
  </si>
  <si>
    <t xml:space="preserve">Extra volume a promotion needs to break even</t>
  </si>
  <si>
    <t xml:space="preserve">NEVER PAYS BACK warning where margin goes to nil</t>
  </si>
  <si>
    <t xml:space="preserve">Formulas you can read and adapt</t>
  </si>
  <si>
    <t xml:space="preserve">Hidden</t>
  </si>
  <si>
    <t xml:space="preserve">Visible</t>
  </si>
  <si>
    <t xml:space="preserve">Price</t>
  </si>
  <si>
    <t xml:space="preserve">Free</t>
  </si>
  <si>
    <t xml:space="preserve">USD 59</t>
  </si>
  <si>
    <t xml:space="preserve">OR BUILD IT YOURSELF</t>
  </si>
  <si>
    <t xml:space="preserve">Put your own hourly value in the yellow cell. The rest is arithmetic.</t>
  </si>
  <si>
    <t xml:space="preserve">What an hour of your time is worth  (USD)</t>
  </si>
  <si>
    <t xml:space="preserve">Work out the method — popularity threshold, contribution average</t>
  </si>
  <si>
    <t xml:space="preserve">Build 70 item rows that self-correct on blanks</t>
  </si>
  <si>
    <t xml:space="preserve">Build the offer modelling and its break-even volumes</t>
  </si>
  <si>
    <t xml:space="preserve">Test it and fix what only breaks on real data</t>
  </si>
  <si>
    <t xml:space="preserve">THE FULL VERSION</t>
  </si>
  <si>
    <t xml:space="preserve">Seventy item rows instead of twelve, and the Offer Modelling sheet: three promotion types run against every item at once, with the extra volume each needs before it pays for itself.</t>
  </si>
  <si>
    <t xml:space="preserve">One payment, yours to keep</t>
  </si>
  <si>
    <t xml:space="preserve">Click this line to open the Menu Engineering Workbook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</si>
  <si>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</si>
  <si>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</si>
  <si>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</si>
  <si>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If twelve rows told you something you did not know, the other thirty-eight will tell you more of the same.</t>
  </si>
  <si>
    <t xml:space="preserve">Back of House — the numbers behind the counter</t>
  </si>
</sst>
</file>

<file path=xl/styles.xml><?xml version="1.0" encoding="utf-8"?>
<styleSheet xmlns="http://schemas.openxmlformats.org/spreadsheetml/2006/main">
  <numFmts count="6">
    <numFmt numFmtId="164" formatCode="General"/>
    <numFmt numFmtId="165" formatCode="@"/>
    <numFmt numFmtId="166" formatCode="0.0%"/>
    <numFmt numFmtId="167" formatCode="#,##0.00;\(#,##0.00\);\-"/>
    <numFmt numFmtId="168" formatCode="#,##0;\(#,##0\);\-"/>
    <numFmt numFmtId="169" formatCode="#,##0&quot; hours&quot;"/>
  </numFmts>
  <fonts count="33">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15"/>
      <color rgb="FF1C2B33"/>
      <name val="Arial"/>
      <family val="0"/>
      <charset val="1"/>
    </font>
    <font>
      <sz val="8"/>
      <color rgb="FF9A9186"/>
      <name val="Arial"/>
      <family val="0"/>
      <charset val="1"/>
    </font>
    <font>
      <sz val="10"/>
      <color rgb="FF0000FF"/>
      <name val="Arial"/>
      <family val="0"/>
      <charset val="1"/>
    </font>
    <font>
      <b val="true"/>
      <sz val="11"/>
      <color rgb="FF0000FF"/>
      <name val="Arial"/>
      <family val="0"/>
      <charset val="1"/>
    </font>
    <font>
      <b val="true"/>
      <sz val="9"/>
      <color rgb="FFFFFFFF"/>
      <name val="Arial"/>
      <family val="0"/>
      <charset val="1"/>
    </font>
    <font>
      <sz val="10"/>
      <color rgb="FF008000"/>
      <name val="Arial"/>
      <family val="0"/>
      <charset val="1"/>
    </font>
    <font>
      <i val="true"/>
      <sz val="9"/>
      <color rgb="FF1C2B33"/>
      <name val="Arial"/>
      <family val="0"/>
      <charset val="1"/>
    </font>
    <font>
      <b val="true"/>
      <sz val="9"/>
      <color rgb="FF6B6157"/>
      <name val="Arial"/>
      <family val="0"/>
      <charset val="1"/>
    </font>
    <font>
      <b val="true"/>
      <sz val="16"/>
      <color rgb="FF1C2B33"/>
      <name val="Arial"/>
      <family val="0"/>
      <charset val="1"/>
    </font>
    <font>
      <b val="true"/>
      <sz val="11"/>
      <color rgb="FF9A7B4F"/>
      <name val="Arial"/>
      <family val="0"/>
      <charset val="1"/>
    </font>
    <font>
      <b val="true"/>
      <sz val="16"/>
      <color rgb="FF9A7B4F"/>
      <name val="Arial"/>
      <family val="0"/>
      <charset val="1"/>
    </font>
    <font>
      <sz val="11"/>
      <color rgb="FF1C2B33"/>
      <name val="Arial"/>
      <family val="0"/>
      <charset val="1"/>
    </font>
    <font>
      <sz val="9"/>
      <color rgb="FF1C2B33"/>
      <name val="Arial"/>
      <family val="0"/>
      <charset val="1"/>
    </font>
    <font>
      <b val="true"/>
      <sz val="12"/>
      <color rgb="FF1C2B33"/>
      <name val="Arial"/>
      <family val="0"/>
      <charset val="1"/>
    </font>
    <font>
      <sz val="10"/>
      <color rgb="FF6B6157"/>
      <name val="Arial"/>
      <family val="0"/>
      <charset val="1"/>
    </font>
    <font>
      <b val="true"/>
      <sz val="12"/>
      <color rgb="FF0000F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6">
    <fill>
      <patternFill patternType="none"/>
    </fill>
    <fill>
      <patternFill patternType="gray125"/>
    </fill>
    <fill>
      <patternFill patternType="solid">
        <fgColor rgb="FFEDE7DD"/>
        <bgColor rgb="FFFBE4E4"/>
      </patternFill>
    </fill>
    <fill>
      <patternFill patternType="solid">
        <fgColor rgb="FFFFF4CC"/>
        <bgColor rgb="FFFDF1DD"/>
      </patternFill>
    </fill>
    <fill>
      <patternFill patternType="solid">
        <fgColor rgb="FF1C2B33"/>
        <bgColor rgb="FF333300"/>
      </patternFill>
    </fill>
    <fill>
      <patternFill patternType="solid">
        <fgColor rgb="FFF5F1EA"/>
        <bgColor rgb="FFFDF1DD"/>
      </patternFill>
    </fill>
  </fills>
  <borders count="6">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right/>
      <top/>
      <bottom style="thin">
        <color rgb="FFC9C0B4"/>
      </bottom>
      <diagonal/>
    </border>
    <border diagonalUp="false" diagonalDown="false">
      <left style="thin">
        <color rgb="FFC9C0B4"/>
      </left>
      <right style="thin">
        <color rgb="FFC9C0B4"/>
      </right>
      <top/>
      <bottom style="thin">
        <color rgb="FFC9C0B4"/>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5" fillId="3" borderId="2" xfId="0" applyFont="true" applyBorder="true" applyAlignment="true" applyProtection="true">
      <alignment horizontal="general" vertical="bottom" textRotation="0" wrapText="false" indent="0" shrinkToFit="false"/>
      <protection locked="fals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16" fillId="3" borderId="2" xfId="0" applyFont="true" applyBorder="true" applyAlignment="true" applyProtection="true">
      <alignment horizontal="general" vertical="bottom" textRotation="0" wrapText="false" indent="0" shrinkToFit="false"/>
      <protection locked="fals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true" applyProtection="false">
      <alignment horizontal="general" vertical="bottom" textRotation="0" wrapText="false" indent="0" shrinkToFit="false"/>
      <protection locked="true" hidden="false"/>
    </xf>
    <xf numFmtId="165" fontId="18" fillId="0" borderId="3" xfId="0" applyFont="true" applyBorder="true" applyAlignment="true" applyProtection="true">
      <alignment horizontal="general" vertical="bottom" textRotation="0" wrapText="false" indent="0" shrinkToFit="false"/>
      <protection locked="true" hidden="true"/>
    </xf>
    <xf numFmtId="165" fontId="15" fillId="3" borderId="3" xfId="0" applyFont="true" applyBorder="true" applyAlignment="true" applyProtection="true">
      <alignment horizontal="general" vertical="bottom" textRotation="0" wrapText="false" indent="0" shrinkToFit="false"/>
      <protection locked="false" hidden="false"/>
    </xf>
    <xf numFmtId="165" fontId="6" fillId="0" borderId="3" xfId="0" applyFont="true" applyBorder="true" applyAlignment="true" applyProtection="true">
      <alignment horizontal="center" vertical="bottom" textRotation="0" wrapText="false" indent="0" shrinkToFit="false"/>
      <protection locked="true" hidden="true"/>
    </xf>
    <xf numFmtId="166" fontId="18" fillId="0" borderId="3" xfId="0" applyFont="true" applyBorder="true" applyAlignment="true" applyProtection="true">
      <alignment horizontal="general" vertical="bottom" textRotation="0" wrapText="false" indent="0" shrinkToFit="false"/>
      <protection locked="true" hidden="true"/>
    </xf>
    <xf numFmtId="166" fontId="15" fillId="3" borderId="3" xfId="0" applyFont="true" applyBorder="true" applyAlignment="true" applyProtection="true">
      <alignment horizontal="general" vertical="bottom" textRotation="0" wrapText="false" indent="0" shrinkToFit="false"/>
      <protection locked="false" hidden="false"/>
    </xf>
    <xf numFmtId="166" fontId="6" fillId="0" borderId="3" xfId="0" applyFont="true" applyBorder="true" applyAlignment="true" applyProtection="true">
      <alignment horizontal="center" vertical="bottom" textRotation="0" wrapText="false" indent="0" shrinkToFit="false"/>
      <protection locked="true" hidden="true"/>
    </xf>
    <xf numFmtId="164" fontId="19" fillId="0" borderId="0" xfId="0" applyFont="true" applyBorder="true" applyAlignment="true" applyProtection="true">
      <alignment horizontal="general" vertical="top" textRotation="0" wrapText="true" indent="0" shrinkToFit="false"/>
      <protection locked="true" hidden="true"/>
    </xf>
    <xf numFmtId="166" fontId="15" fillId="3" borderId="2" xfId="0" applyFont="true" applyBorder="true" applyAlignment="true" applyProtection="true">
      <alignment horizontal="general" vertical="bottom" textRotation="0" wrapText="false" indent="0" shrinkToFit="false"/>
      <protection locked="false" hidden="false"/>
    </xf>
    <xf numFmtId="164" fontId="17" fillId="4" borderId="1" xfId="0" applyFont="true" applyBorder="true" applyAlignment="true" applyProtection="false">
      <alignment horizontal="left" vertical="bottom" textRotation="0" wrapText="true" indent="0" shrinkToFit="false"/>
      <protection locked="true" hidden="false"/>
    </xf>
    <xf numFmtId="164" fontId="17" fillId="4" borderId="1" xfId="0" applyFont="true" applyBorder="true" applyAlignment="true" applyProtection="false">
      <alignment horizontal="center" vertical="bottom" textRotation="0" wrapText="true" indent="0" shrinkToFit="false"/>
      <protection locked="true" hidden="false"/>
    </xf>
    <xf numFmtId="167" fontId="15" fillId="3" borderId="2" xfId="0" applyFont="true" applyBorder="true" applyAlignment="true" applyProtection="true">
      <alignment horizontal="general" vertical="bottom" textRotation="0" wrapText="false" indent="0" shrinkToFit="false"/>
      <protection locked="false" hidden="false"/>
    </xf>
    <xf numFmtId="164" fontId="4" fillId="0" borderId="0" xfId="0" applyFont="true" applyBorder="false" applyAlignment="true" applyProtection="true">
      <alignment horizontal="general" vertical="bottom" textRotation="0" wrapText="false" indent="0" shrinkToFit="false"/>
      <protection locked="true" hidden="true"/>
    </xf>
    <xf numFmtId="164" fontId="11" fillId="0" borderId="0" xfId="0" applyFont="true" applyBorder="false" applyAlignment="true" applyProtection="true">
      <alignment horizontal="general" vertical="bottom" textRotation="0" wrapText="false" indent="0" shrinkToFit="false"/>
      <protection locked="true" hidden="true"/>
    </xf>
    <xf numFmtId="164" fontId="20" fillId="0" borderId="0" xfId="0" applyFont="true" applyBorder="true" applyAlignment="true" applyProtection="true">
      <alignment horizontal="general" vertical="bottom" textRotation="0" wrapText="false" indent="0" shrinkToFit="false"/>
      <protection locked="true" hidden="true"/>
    </xf>
    <xf numFmtId="164" fontId="20" fillId="0" borderId="0" xfId="0" applyFont="true" applyBorder="true" applyAlignment="true" applyProtection="false">
      <alignment horizontal="general" vertical="bottom" textRotation="0" wrapText="false" indent="0" shrinkToFit="false"/>
      <protection locked="true" hidden="false"/>
    </xf>
    <xf numFmtId="168" fontId="21" fillId="0" borderId="0" xfId="0" applyFont="true" applyBorder="true" applyAlignment="true" applyProtection="true">
      <alignment horizontal="general" vertical="bottom" textRotation="0" wrapText="false" indent="0" shrinkToFit="false"/>
      <protection locked="true" hidden="true"/>
    </xf>
    <xf numFmtId="167" fontId="21" fillId="0" borderId="0" xfId="0" applyFont="true" applyBorder="true" applyAlignment="true" applyProtection="true">
      <alignment horizontal="general" vertical="bottom" textRotation="0" wrapText="false" indent="0" shrinkToFit="false"/>
      <protection locked="true" hidden="true"/>
    </xf>
    <xf numFmtId="164" fontId="22" fillId="0" borderId="3" xfId="0" applyFont="true" applyBorder="true" applyAlignment="true" applyProtection="false">
      <alignment horizontal="general" vertical="bottom" textRotation="0" wrapText="false" indent="0" shrinkToFit="false"/>
      <protection locked="true" hidden="false"/>
    </xf>
    <xf numFmtId="168" fontId="6" fillId="0" borderId="3" xfId="0" applyFont="true" applyBorder="true" applyAlignment="true" applyProtection="true">
      <alignment horizontal="general" vertical="bottom" textRotation="0" wrapText="false" indent="0" shrinkToFit="false"/>
      <protection locked="true" hidden="true"/>
    </xf>
    <xf numFmtId="166" fontId="6" fillId="0" borderId="3" xfId="0" applyFont="true" applyBorder="true" applyAlignment="true" applyProtection="true">
      <alignment horizontal="general" vertical="bottom" textRotation="0" wrapText="false" indent="0" shrinkToFit="false"/>
      <protection locked="true" hidden="true"/>
    </xf>
    <xf numFmtId="164" fontId="11" fillId="0" borderId="3" xfId="0" applyFont="true" applyBorder="true" applyAlignment="true" applyProtection="false">
      <alignment horizontal="general" vertical="bottom" textRotation="0" wrapText="false" indent="0" shrinkToFit="false"/>
      <protection locked="true" hidden="false"/>
    </xf>
    <xf numFmtId="166" fontId="23" fillId="0" borderId="0" xfId="0" applyFont="true" applyBorder="false" applyAlignment="true" applyProtection="true">
      <alignment horizontal="general" vertical="bottom" textRotation="0" wrapText="false" indent="0" shrinkToFit="false"/>
      <protection locked="true" hidden="true"/>
    </xf>
    <xf numFmtId="165" fontId="23" fillId="0" borderId="0" xfId="0" applyFont="true" applyBorder="false" applyAlignment="true" applyProtection="true">
      <alignment horizontal="general" vertical="bottom" textRotation="0" wrapText="false" indent="0" shrinkToFit="false"/>
      <protection locked="true" hidden="true"/>
    </xf>
    <xf numFmtId="164" fontId="24" fillId="0" borderId="0" xfId="0" applyFont="true" applyBorder="true" applyAlignment="true" applyProtection="true">
      <alignment horizontal="general" vertical="top" textRotation="0" wrapText="true" indent="0" shrinkToFit="false"/>
      <protection locked="true" hidden="true"/>
    </xf>
    <xf numFmtId="164" fontId="8" fillId="0" borderId="0" xfId="0" applyFont="true" applyBorder="false" applyAlignment="true" applyProtection="false">
      <alignment horizontal="general" vertical="bottom" textRotation="0" wrapText="fals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5" fontId="15" fillId="3" borderId="4" xfId="0" applyFont="true" applyBorder="true" applyAlignment="true" applyProtection="true">
      <alignment horizontal="general" vertical="bottom" textRotation="0" wrapText="false" indent="0" shrinkToFit="false"/>
      <protection locked="false" hidden="false"/>
    </xf>
    <xf numFmtId="167" fontId="15" fillId="3" borderId="4" xfId="0" applyFont="true" applyBorder="true" applyAlignment="true" applyProtection="true">
      <alignment horizontal="general" vertical="bottom" textRotation="0" wrapText="false" indent="0" shrinkToFit="false"/>
      <protection locked="false" hidden="false"/>
    </xf>
    <xf numFmtId="167" fontId="7" fillId="0" borderId="4" xfId="0" applyFont="true" applyBorder="true" applyAlignment="true" applyProtection="true">
      <alignment horizontal="general" vertical="bottom" textRotation="0" wrapText="false" indent="0" shrinkToFit="false"/>
      <protection locked="true" hidden="true"/>
    </xf>
    <xf numFmtId="167" fontId="6" fillId="0" borderId="4" xfId="0" applyFont="true" applyBorder="true" applyAlignment="true" applyProtection="true">
      <alignment horizontal="general" vertical="bottom" textRotation="0" wrapText="false" indent="0" shrinkToFit="false"/>
      <protection locked="true" hidden="true"/>
    </xf>
    <xf numFmtId="166" fontId="7" fillId="0" borderId="4" xfId="0" applyFont="true" applyBorder="true" applyAlignment="true" applyProtection="true">
      <alignment horizontal="general" vertical="bottom" textRotation="0" wrapText="false" indent="0" shrinkToFit="false"/>
      <protection locked="true" hidden="true"/>
    </xf>
    <xf numFmtId="168" fontId="15" fillId="3" borderId="4" xfId="0" applyFont="true" applyBorder="true" applyAlignment="true" applyProtection="true">
      <alignment horizontal="general" vertical="bottom" textRotation="0" wrapText="false" indent="0" shrinkToFit="false"/>
      <protection locked="false" hidden="false"/>
    </xf>
    <xf numFmtId="168" fontId="7" fillId="0" borderId="4" xfId="0" applyFont="true" applyBorder="true" applyAlignment="true" applyProtection="true">
      <alignment horizontal="general" vertical="bottom" textRotation="0" wrapText="false" indent="0" shrinkToFit="false"/>
      <protection locked="true" hidden="true"/>
    </xf>
    <xf numFmtId="168" fontId="6" fillId="0" borderId="4" xfId="0" applyFont="true" applyBorder="true" applyAlignment="true" applyProtection="true">
      <alignment horizontal="general" vertical="bottom" textRotation="0" wrapText="false" indent="0" shrinkToFit="false"/>
      <protection locked="true" hidden="true"/>
    </xf>
    <xf numFmtId="164" fontId="9" fillId="0" borderId="5" xfId="0" applyFont="true" applyBorder="true" applyAlignment="true" applyProtection="false">
      <alignment horizontal="general" vertical="bottom" textRotation="0" wrapText="fals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4" fontId="20" fillId="0" borderId="5" xfId="0" applyFont="true" applyBorder="true" applyAlignment="true" applyProtection="false">
      <alignment horizontal="general" vertical="bottom" textRotation="0" wrapText="false" indent="0" shrinkToFit="false"/>
      <protection locked="true" hidden="false"/>
    </xf>
    <xf numFmtId="167" fontId="6" fillId="0" borderId="5" xfId="0" applyFont="true" applyBorder="true" applyAlignment="true" applyProtection="true">
      <alignment horizontal="general" vertical="bottom" textRotation="0" wrapText="false" indent="0" shrinkToFit="false"/>
      <protection locked="true" hidden="true"/>
    </xf>
    <xf numFmtId="168" fontId="6" fillId="0" borderId="5" xfId="0" applyFont="true" applyBorder="true" applyAlignment="true" applyProtection="true">
      <alignment horizontal="general" vertical="bottom" textRotation="0" wrapText="false" indent="0" shrinkToFit="false"/>
      <protection locked="true" hidden="true"/>
    </xf>
    <xf numFmtId="165" fontId="7" fillId="0" borderId="3" xfId="0" applyFont="true" applyBorder="true" applyAlignment="true" applyProtection="true">
      <alignment horizontal="general" vertical="top" textRotation="0" wrapText="false" indent="0" shrinkToFit="false"/>
      <protection locked="true" hidden="true"/>
    </xf>
    <xf numFmtId="168" fontId="18" fillId="0" borderId="3" xfId="0" applyFont="true" applyBorder="true" applyAlignment="true" applyProtection="true">
      <alignment horizontal="general" vertical="top" textRotation="0" wrapText="false" indent="0" shrinkToFit="false"/>
      <protection locked="true" hidden="true"/>
    </xf>
    <xf numFmtId="166" fontId="18" fillId="0" borderId="3" xfId="0" applyFont="true" applyBorder="true" applyAlignment="true" applyProtection="true">
      <alignment horizontal="general" vertical="top" textRotation="0" wrapText="false" indent="0" shrinkToFit="false"/>
      <protection locked="true" hidden="true"/>
    </xf>
    <xf numFmtId="165" fontId="6" fillId="0" borderId="3" xfId="0" applyFont="true" applyBorder="true" applyAlignment="true" applyProtection="true">
      <alignment horizontal="general" vertical="top" textRotation="0" wrapText="false" indent="0" shrinkToFit="false"/>
      <protection locked="true" hidden="true"/>
    </xf>
    <xf numFmtId="167" fontId="18" fillId="0" borderId="3" xfId="0" applyFont="true" applyBorder="true" applyAlignment="true" applyProtection="true">
      <alignment horizontal="general" vertical="top" textRotation="0" wrapText="false" indent="0" shrinkToFit="false"/>
      <protection locked="true" hidden="true"/>
    </xf>
    <xf numFmtId="165" fontId="6" fillId="0" borderId="3" xfId="0" applyFont="true" applyBorder="true" applyAlignment="true" applyProtection="true">
      <alignment horizontal="center" vertical="top" textRotation="0" wrapText="false" indent="0" shrinkToFit="false"/>
      <protection locked="true" hidden="true"/>
    </xf>
    <xf numFmtId="164" fontId="25" fillId="0" borderId="3" xfId="0" applyFont="true" applyBorder="true" applyAlignment="true" applyProtection="true">
      <alignment horizontal="general" vertical="top" textRotation="0" wrapText="true" indent="0" shrinkToFit="false"/>
      <protection locked="true" hidden="true"/>
    </xf>
    <xf numFmtId="164" fontId="7" fillId="0" borderId="3" xfId="0" applyFont="true" applyBorder="true" applyAlignment="true" applyProtection="false">
      <alignment horizontal="general" vertical="center" textRotation="0" wrapText="true" indent="0" shrinkToFit="false"/>
      <protection locked="true" hidden="false"/>
    </xf>
    <xf numFmtId="168" fontId="26" fillId="0" borderId="3" xfId="0" applyFont="true" applyBorder="true" applyAlignment="true" applyProtection="true">
      <alignment horizontal="center" vertical="center" textRotation="0" wrapText="false" indent="0" shrinkToFit="false"/>
      <protection locked="true" hidden="true"/>
    </xf>
    <xf numFmtId="164" fontId="22" fillId="0" borderId="0" xfId="0" applyFont="true" applyBorder="true" applyAlignment="true" applyProtection="true">
      <alignment horizontal="general" vertical="top" textRotation="0" wrapText="true" indent="0" shrinkToFit="false"/>
      <protection locked="true" hidden="true"/>
    </xf>
    <xf numFmtId="164" fontId="17" fillId="4" borderId="0" xfId="0" applyFont="true" applyBorder="fals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general" vertical="center" textRotation="0" wrapText="true" indent="0" shrinkToFit="false"/>
      <protection locked="true" hidden="false"/>
    </xf>
    <xf numFmtId="164" fontId="27" fillId="0"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8" fontId="28" fillId="3" borderId="2" xfId="0" applyFont="true" applyBorder="true" applyAlignment="true" applyProtection="true">
      <alignment horizontal="center" vertical="bottom" textRotation="0" wrapText="false" indent="0" shrinkToFit="false"/>
      <protection locked="false" hidden="false"/>
    </xf>
    <xf numFmtId="168" fontId="7" fillId="0" borderId="3" xfId="0" applyFont="true" applyBorder="true" applyAlignment="true" applyProtection="false">
      <alignment horizontal="center" vertical="bottom" textRotation="0" wrapText="false" indent="0" shrinkToFit="false"/>
      <protection locked="true" hidden="false"/>
    </xf>
    <xf numFmtId="168" fontId="7" fillId="0" borderId="3" xfId="0" applyFont="true" applyBorder="true" applyAlignment="true" applyProtection="true">
      <alignment horizontal="center" vertical="bottom" textRotation="0" wrapText="false" indent="0" shrinkToFit="false"/>
      <protection locked="true" hidden="true"/>
    </xf>
    <xf numFmtId="164" fontId="9" fillId="5" borderId="5" xfId="0" applyFont="true" applyBorder="true" applyAlignment="true" applyProtection="false">
      <alignment horizontal="general" vertical="bottom" textRotation="0" wrapText="false" indent="0" shrinkToFit="false"/>
      <protection locked="true" hidden="false"/>
    </xf>
    <xf numFmtId="169" fontId="26" fillId="5" borderId="5" xfId="0" applyFont="true" applyBorder="true" applyAlignment="true" applyProtection="true">
      <alignment horizontal="center" vertical="bottom" textRotation="0" wrapText="false" indent="0" shrinkToFit="false"/>
      <protection locked="true" hidden="true"/>
    </xf>
    <xf numFmtId="168" fontId="29" fillId="5" borderId="5" xfId="0" applyFont="true" applyBorder="true" applyAlignment="true" applyProtection="true">
      <alignment horizontal="center" vertical="bottom" textRotation="0" wrapText="fals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27" fillId="0" borderId="0" xfId="0" applyFont="true" applyBorder="false" applyAlignment="true" applyProtection="false">
      <alignment horizontal="general" vertical="bottom" textRotation="0" wrapText="false" indent="0" shrinkToFit="false"/>
      <protection locked="true" hidden="false"/>
    </xf>
    <xf numFmtId="164" fontId="30" fillId="0" borderId="0" xfId="0" applyFont="true" applyBorder="false" applyAlignment="true" applyProtection="false">
      <alignment horizontal="center" vertical="bottom" textRotation="0" wrapText="false" indent="0" shrinkToFit="false"/>
      <protection locked="true" hidden="false"/>
    </xf>
    <xf numFmtId="164" fontId="31" fillId="0" borderId="0" xfId="0" applyFont="true" applyBorder="true" applyAlignment="true" applyProtection="false">
      <alignment horizontal="general" vertical="center" textRotation="0" wrapText="true" indent="0" shrinkToFit="false"/>
      <protection locked="true" hidden="false"/>
    </xf>
    <xf numFmtId="164" fontId="32"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E6B2E"/>
        <sz val="10"/>
      </font>
      <fill>
        <patternFill>
          <bgColor rgb="FFDCEDDC"/>
        </patternFill>
      </fill>
    </dxf>
    <dxf>
      <font>
        <name val="Arial"/>
        <charset val="1"/>
        <family val="0"/>
        <b val="1"/>
        <color rgb="FF8A5A12"/>
        <sz val="10"/>
      </font>
      <fill>
        <patternFill>
          <bgColor rgb="FFFDF1DD"/>
        </patternFill>
      </fill>
    </dxf>
    <dxf>
      <font>
        <name val="Arial"/>
        <charset val="1"/>
        <family val="0"/>
        <b val="1"/>
        <color rgb="FFA03030"/>
        <sz val="10"/>
      </font>
      <fill>
        <patternFill>
          <bgColor rgb="FFFBE4E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12"/>
      <rgbColor rgb="FF800080"/>
      <rgbColor rgb="FF1E6B2E"/>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EDE7DD"/>
      <rgbColor rgb="FFDCEDDC"/>
      <rgbColor rgb="FFFDF1DD"/>
      <rgbColor rgb="FF99CCFF"/>
      <rgbColor rgb="FFFF99CC"/>
      <rgbColor rgb="FFCC99FF"/>
      <rgbColor rgb="FFFBE4E4"/>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691920</xdr:colOff>
      <xdr:row>4</xdr:row>
      <xdr:rowOff>236880</xdr:rowOff>
    </xdr:to>
    <xdr:pic>
      <xdr:nvPicPr>
        <xdr:cNvPr id="0" name="Image 1" descr="Picture"/>
        <xdr:cNvPicPr/>
      </xdr:nvPicPr>
      <xdr:blipFill>
        <a:blip r:embed="rId1"/>
        <a:stretch/>
      </xdr:blipFill>
      <xdr:spPr>
        <a:xfrm>
          <a:off x="211320" y="190440"/>
          <a:ext cx="2665800" cy="1265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269280</xdr:colOff>
      <xdr:row>4</xdr:row>
      <xdr:rowOff>236880</xdr:rowOff>
    </xdr:to>
    <xdr:pic>
      <xdr:nvPicPr>
        <xdr:cNvPr id="1" name="Image 1" descr="Picture"/>
        <xdr:cNvPicPr/>
      </xdr:nvPicPr>
      <xdr:blipFill>
        <a:blip r:embed="rId1"/>
        <a:stretch/>
      </xdr:blipFill>
      <xdr:spPr>
        <a:xfrm>
          <a:off x="211320" y="190440"/>
          <a:ext cx="2665800" cy="12657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2665800</xdr:colOff>
      <xdr:row>4</xdr:row>
      <xdr:rowOff>236880</xdr:rowOff>
    </xdr:to>
    <xdr:pic>
      <xdr:nvPicPr>
        <xdr:cNvPr id="2" name="Image 1" descr="Picture"/>
        <xdr:cNvPicPr/>
      </xdr:nvPicPr>
      <xdr:blipFill>
        <a:blip r:embed="rId1"/>
        <a:stretch/>
      </xdr:blipFill>
      <xdr:spPr>
        <a:xfrm>
          <a:off x="211320" y="190440"/>
          <a:ext cx="2665800" cy="1265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hyperlink" Target="https://payhip.com/b/R2OY0"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2" t="s">
        <v>0</v>
      </c>
      <c r="C9" s="2"/>
    </row>
    <row r="10" customFormat="false" ht="15" hidden="false" customHeight="true" outlineLevel="0" collapsed="false">
      <c r="B10" s="3" t="s">
        <v>1</v>
      </c>
      <c r="C10" s="3"/>
    </row>
    <row r="12" customFormat="false" ht="61.5" hidden="false" customHeight="true" outlineLevel="0" collapsed="false">
      <c r="B12" s="4" t="s">
        <v>2</v>
      </c>
      <c r="C12" s="5" t="s">
        <v>3</v>
      </c>
    </row>
    <row r="14" customFormat="false" ht="15" hidden="false" customHeight="true" outlineLevel="0" collapsed="false">
      <c r="B14" s="4" t="s">
        <v>4</v>
      </c>
    </row>
    <row r="15" customFormat="false" ht="30" hidden="false" customHeight="true" outlineLevel="0" collapsed="false">
      <c r="B15" s="6" t="s">
        <v>5</v>
      </c>
      <c r="C15" s="5" t="s">
        <v>6</v>
      </c>
    </row>
    <row r="16" customFormat="false" ht="30" hidden="false" customHeight="true" outlineLevel="0" collapsed="false">
      <c r="B16" s="6" t="s">
        <v>7</v>
      </c>
      <c r="C16" s="5" t="s">
        <v>8</v>
      </c>
    </row>
    <row r="17" customFormat="false" ht="30" hidden="false" customHeight="true" outlineLevel="0" collapsed="false">
      <c r="B17" s="6" t="s">
        <v>9</v>
      </c>
      <c r="C17" s="5" t="s">
        <v>10</v>
      </c>
    </row>
    <row r="18" customFormat="false" ht="30" hidden="false" customHeight="true" outlineLevel="0" collapsed="false">
      <c r="B18" s="6" t="s">
        <v>11</v>
      </c>
      <c r="C18" s="5" t="s">
        <v>12</v>
      </c>
    </row>
    <row r="20" customFormat="false" ht="15" hidden="false" customHeight="true" outlineLevel="0" collapsed="false">
      <c r="B20" s="4" t="s">
        <v>13</v>
      </c>
    </row>
    <row r="21" customFormat="false" ht="30" hidden="false" customHeight="true" outlineLevel="0" collapsed="false">
      <c r="B21" s="6" t="s">
        <v>14</v>
      </c>
      <c r="C21" s="5" t="s">
        <v>15</v>
      </c>
    </row>
    <row r="22" customFormat="false" ht="30" hidden="false" customHeight="true" outlineLevel="0" collapsed="false">
      <c r="B22" s="6" t="s">
        <v>16</v>
      </c>
      <c r="C22" s="5" t="s">
        <v>17</v>
      </c>
    </row>
    <row r="23" customFormat="false" ht="30" hidden="false" customHeight="true" outlineLevel="0" collapsed="false">
      <c r="B23" s="6" t="s">
        <v>18</v>
      </c>
      <c r="C23" s="5" t="s">
        <v>19</v>
      </c>
    </row>
    <row r="24" customFormat="false" ht="30" hidden="false" customHeight="true" outlineLevel="0" collapsed="false">
      <c r="B24" s="6" t="s">
        <v>20</v>
      </c>
      <c r="C24" s="5" t="s">
        <v>21</v>
      </c>
    </row>
    <row r="25" customFormat="false" ht="30" hidden="false" customHeight="true" outlineLevel="0" collapsed="false">
      <c r="B25" s="6" t="s">
        <v>22</v>
      </c>
      <c r="C25" s="5" t="s">
        <v>23</v>
      </c>
    </row>
    <row r="27" customFormat="false" ht="27.75" hidden="false" customHeight="true" outlineLevel="0" collapsed="false">
      <c r="B27" s="4" t="s">
        <v>24</v>
      </c>
      <c r="C27" s="5" t="s">
        <v>25</v>
      </c>
    </row>
    <row r="28" customFormat="false" ht="27.75" hidden="false" customHeight="true" outlineLevel="0" collapsed="false">
      <c r="C28" s="5" t="s">
        <v>26</v>
      </c>
    </row>
    <row r="29" customFormat="false" ht="27.75" hidden="false" customHeight="true" outlineLevel="0" collapsed="false">
      <c r="C29" s="5" t="s">
        <v>27</v>
      </c>
    </row>
    <row r="30" customFormat="false" ht="27.75" hidden="false" customHeight="true" outlineLevel="0" collapsed="false">
      <c r="C30" s="5" t="s">
        <v>28</v>
      </c>
    </row>
    <row r="31" customFormat="false" ht="27.75" hidden="false" customHeight="true" outlineLevel="0" collapsed="false">
      <c r="C31" s="5" t="s">
        <v>29</v>
      </c>
    </row>
    <row r="32" customFormat="false" ht="27.75" hidden="false" customHeight="true" outlineLevel="0" collapsed="false">
      <c r="C32" s="5" t="s">
        <v>30</v>
      </c>
    </row>
    <row r="34" customFormat="false" ht="48" hidden="false" customHeight="true" outlineLevel="0" collapsed="false">
      <c r="B34" s="4" t="s">
        <v>31</v>
      </c>
      <c r="C34" s="5" t="s">
        <v>32</v>
      </c>
    </row>
    <row r="36" customFormat="false" ht="60" hidden="false" customHeight="true" outlineLevel="0" collapsed="false">
      <c r="B36" s="4" t="s">
        <v>33</v>
      </c>
      <c r="C36" s="5" t="s">
        <v>34</v>
      </c>
    </row>
    <row r="38" customFormat="false" ht="48" hidden="false" customHeight="true" outlineLevel="0" collapsed="false">
      <c r="B38" s="4" t="s">
        <v>35</v>
      </c>
      <c r="C38" s="5" t="s">
        <v>36</v>
      </c>
    </row>
    <row r="40" customFormat="false" ht="48" hidden="false" customHeight="true" outlineLevel="0" collapsed="false">
      <c r="B40" s="4" t="s">
        <v>37</v>
      </c>
      <c r="C40" s="5" t="s">
        <v>38</v>
      </c>
    </row>
    <row r="42" customFormat="false" ht="30" hidden="false" customHeight="true" outlineLevel="0" collapsed="false">
      <c r="B42" s="4" t="s">
        <v>39</v>
      </c>
      <c r="C42" s="5" t="s">
        <v>40</v>
      </c>
    </row>
    <row r="43" customFormat="false" ht="30" hidden="false" customHeight="true" outlineLevel="0" collapsed="false">
      <c r="C43" s="5" t="s">
        <v>41</v>
      </c>
    </row>
    <row r="44" customFormat="false" ht="30" hidden="false" customHeight="true" outlineLevel="0" collapsed="false">
      <c r="C44" s="5" t="s">
        <v>42</v>
      </c>
    </row>
    <row r="45" customFormat="false" ht="30" hidden="false" customHeight="true" outlineLevel="0" collapsed="false">
      <c r="C45" s="5" t="s">
        <v>43</v>
      </c>
    </row>
    <row r="47" customFormat="false" ht="48" hidden="false" customHeight="true" outlineLevel="0" collapsed="false">
      <c r="B47" s="4" t="s">
        <v>44</v>
      </c>
      <c r="C47" s="5" t="s">
        <v>45</v>
      </c>
    </row>
    <row r="49" customFormat="false" ht="15" hidden="false" customHeight="true" outlineLevel="0" collapsed="false">
      <c r="B49" s="7" t="s">
        <v>46</v>
      </c>
      <c r="C49" s="8"/>
    </row>
    <row r="50" customFormat="false" ht="48" hidden="false" customHeight="true" outlineLevel="0" collapsed="false">
      <c r="C50" s="5" t="s">
        <v>47</v>
      </c>
    </row>
    <row r="51" customFormat="false" ht="15" hidden="false" customHeight="true" outlineLevel="0" collapsed="false">
      <c r="C51" s="9" t="s">
        <v>48</v>
      </c>
    </row>
    <row r="53" customFormat="false" ht="32.25" hidden="false" customHeight="true" outlineLevel="0" collapsed="false">
      <c r="B53" s="10" t="s">
        <v>49</v>
      </c>
    </row>
    <row r="54" customFormat="false" ht="21.75" hidden="false" customHeight="true" outlineLevel="0" collapsed="false">
      <c r="B54" s="10" t="s">
        <v>50</v>
      </c>
    </row>
    <row r="55" customFormat="false" ht="18.75" hidden="false" customHeight="true" outlineLevel="0" collapsed="false">
      <c r="B55" s="11" t="s">
        <v>51</v>
      </c>
    </row>
  </sheetData>
  <sheetProtection sheet="true" password="b7e1" objects="true" scenarios="true" formatCells="false" formatColumns="false" formatRows="false" sort="false" autoFilter="false"/>
  <mergeCells count="2">
    <mergeCell ref="B9:C9"/>
    <mergeCell ref="B10:C10"/>
  </mergeCells>
  <hyperlinks>
    <hyperlink ref="C51"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Menu Engineering Workbook&amp;R&amp;8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4" min="2" style="1" width="17"/>
    <col collapsed="false" customWidth="true" hidden="false" outlineLevel="0" max="5" min="5" style="1" width="62"/>
    <col collapsed="false" customWidth="true" hidden="true" outlineLevel="0" max="21" min="14" style="1" width="13"/>
  </cols>
  <sheetData>
    <row r="1" customFormat="false" ht="18" hidden="false" customHeight="true" outlineLevel="0" collapsed="false">
      <c r="A1" s="12" t="s">
        <v>14</v>
      </c>
    </row>
    <row r="2" customFormat="false" ht="15" hidden="false" customHeight="true" outlineLevel="0" collapsed="false">
      <c r="A2" s="13" t="s">
        <v>52</v>
      </c>
      <c r="B2" s="13"/>
      <c r="C2" s="13"/>
      <c r="D2" s="13"/>
      <c r="E2" s="13"/>
    </row>
    <row r="3" customFormat="false" ht="15" hidden="false" customHeight="true" outlineLevel="0" collapsed="false">
      <c r="N3" s="14" t="s">
        <v>53</v>
      </c>
    </row>
    <row r="4" customFormat="false" ht="15" hidden="false" customHeight="true" outlineLevel="0" collapsed="false">
      <c r="A4" s="15" t="s">
        <v>54</v>
      </c>
      <c r="B4" s="8"/>
      <c r="C4" s="8"/>
      <c r="D4" s="8"/>
      <c r="E4" s="8"/>
      <c r="N4" s="16" t="s">
        <v>55</v>
      </c>
      <c r="O4" s="16" t="s">
        <v>56</v>
      </c>
      <c r="P4" s="16" t="n">
        <v>0.09</v>
      </c>
      <c r="Q4" s="16" t="n">
        <v>375000</v>
      </c>
      <c r="R4" s="16" t="n">
        <v>0.0575</v>
      </c>
      <c r="S4" s="16" t="n">
        <v>0</v>
      </c>
      <c r="T4" s="16" t="n">
        <v>0.05</v>
      </c>
      <c r="U4" s="16" t="s">
        <v>57</v>
      </c>
    </row>
    <row r="5" customFormat="false" ht="15" hidden="false" customHeight="true" outlineLevel="0" collapsed="false">
      <c r="A5" s="17" t="s">
        <v>58</v>
      </c>
      <c r="B5" s="18" t="s">
        <v>59</v>
      </c>
      <c r="N5" s="16" t="s">
        <v>60</v>
      </c>
      <c r="O5" s="16" t="s">
        <v>61</v>
      </c>
      <c r="P5" s="16" t="n">
        <v>0.025</v>
      </c>
      <c r="Q5" s="16" t="n">
        <v>0</v>
      </c>
      <c r="R5" s="16" t="n">
        <v>0.0411</v>
      </c>
      <c r="S5" s="16" t="n">
        <v>0.02</v>
      </c>
      <c r="T5" s="16" t="n">
        <v>0.15</v>
      </c>
      <c r="U5" s="16" t="s">
        <v>62</v>
      </c>
    </row>
    <row r="6" customFormat="false" ht="15" hidden="false" customHeight="true" outlineLevel="0" collapsed="false">
      <c r="A6" s="17" t="s">
        <v>63</v>
      </c>
      <c r="B6" s="18" t="s">
        <v>64</v>
      </c>
      <c r="E6" s="19" t="s">
        <v>65</v>
      </c>
      <c r="N6" s="16" t="s">
        <v>66</v>
      </c>
      <c r="O6" s="16" t="s">
        <v>67</v>
      </c>
      <c r="P6" s="16" t="n">
        <v>0</v>
      </c>
      <c r="Q6" s="16" t="n">
        <v>0</v>
      </c>
      <c r="R6" s="16" t="n">
        <v>0.0575</v>
      </c>
      <c r="S6" s="16" t="n">
        <v>0</v>
      </c>
      <c r="T6" s="16" t="n">
        <v>0</v>
      </c>
      <c r="U6" s="16" t="s">
        <v>68</v>
      </c>
    </row>
    <row r="7" customFormat="false" ht="15" hidden="false" customHeight="true" outlineLevel="0" collapsed="false">
      <c r="N7" s="16" t="s">
        <v>69</v>
      </c>
      <c r="O7" s="16" t="s">
        <v>70</v>
      </c>
      <c r="P7" s="16" t="n">
        <v>0</v>
      </c>
      <c r="Q7" s="16" t="n">
        <v>0</v>
      </c>
      <c r="R7" s="16" t="n">
        <v>0.0411</v>
      </c>
      <c r="S7" s="16" t="n">
        <v>0</v>
      </c>
      <c r="T7" s="16" t="n">
        <v>0</v>
      </c>
      <c r="U7" s="16" t="s">
        <v>71</v>
      </c>
    </row>
    <row r="8" customFormat="false" ht="15" hidden="false" customHeight="true" outlineLevel="0" collapsed="false">
      <c r="A8" s="15" t="s">
        <v>72</v>
      </c>
      <c r="B8" s="8"/>
      <c r="C8" s="8"/>
      <c r="D8" s="8"/>
      <c r="E8" s="8"/>
      <c r="N8" s="16" t="s">
        <v>73</v>
      </c>
      <c r="O8" s="16" t="s">
        <v>74</v>
      </c>
      <c r="P8" s="16" t="n">
        <v>0</v>
      </c>
      <c r="Q8" s="16" t="n">
        <v>0</v>
      </c>
      <c r="R8" s="16" t="n">
        <v>0.042</v>
      </c>
      <c r="S8" s="16" t="n">
        <v>0.03</v>
      </c>
      <c r="T8" s="16" t="n">
        <v>0.1</v>
      </c>
      <c r="U8" s="16" t="s">
        <v>75</v>
      </c>
    </row>
    <row r="9" customFormat="false" ht="15" hidden="false" customHeight="true" outlineLevel="0" collapsed="false">
      <c r="A9" s="20" t="s">
        <v>76</v>
      </c>
      <c r="B9" s="21" t="s">
        <v>55</v>
      </c>
      <c r="E9" s="19" t="s">
        <v>77</v>
      </c>
      <c r="N9" s="16" t="s">
        <v>78</v>
      </c>
      <c r="O9" s="16" t="s">
        <v>79</v>
      </c>
      <c r="P9" s="16" t="n">
        <v>0.15</v>
      </c>
      <c r="Q9" s="16" t="n">
        <v>0</v>
      </c>
      <c r="R9" s="16" t="n">
        <v>0.0822</v>
      </c>
      <c r="S9" s="16" t="n">
        <v>0.145</v>
      </c>
      <c r="T9" s="16" t="n">
        <v>0.05</v>
      </c>
      <c r="U9" s="16" t="s">
        <v>80</v>
      </c>
    </row>
    <row r="10" customFormat="false" ht="15" hidden="false" customHeight="true" outlineLevel="0" collapsed="false">
      <c r="N10" s="16" t="s">
        <v>81</v>
      </c>
      <c r="O10" s="16" t="s">
        <v>82</v>
      </c>
      <c r="P10" s="16" t="n">
        <v>0.225</v>
      </c>
      <c r="Q10" s="16" t="n">
        <v>0</v>
      </c>
      <c r="R10" s="16" t="n">
        <v>0</v>
      </c>
      <c r="S10" s="16" t="n">
        <v>0.1875</v>
      </c>
      <c r="T10" s="16" t="n">
        <v>0.14</v>
      </c>
      <c r="U10" s="16" t="s">
        <v>83</v>
      </c>
    </row>
    <row r="11" customFormat="false" ht="15" hidden="false" customHeight="true" outlineLevel="0" collapsed="false">
      <c r="A11" s="22"/>
      <c r="B11" s="23" t="s">
        <v>84</v>
      </c>
      <c r="C11" s="23" t="s">
        <v>85</v>
      </c>
      <c r="D11" s="23" t="s">
        <v>86</v>
      </c>
      <c r="N11" s="16" t="s">
        <v>87</v>
      </c>
      <c r="O11" s="16" t="s">
        <v>88</v>
      </c>
      <c r="P11" s="16" t="n">
        <v>0.21</v>
      </c>
      <c r="Q11" s="16" t="n">
        <v>0</v>
      </c>
      <c r="R11" s="16" t="n">
        <v>0</v>
      </c>
      <c r="S11" s="16" t="n">
        <v>0.1425</v>
      </c>
      <c r="T11" s="16" t="n">
        <v>0.16</v>
      </c>
      <c r="U11" s="16" t="s">
        <v>89</v>
      </c>
    </row>
    <row r="12" customFormat="false" ht="15" hidden="false" customHeight="true" outlineLevel="0" collapsed="false">
      <c r="A12" s="24" t="s">
        <v>90</v>
      </c>
      <c r="B12" s="25" t="str">
        <f aca="false">IFERROR(INDEX($O$4:$O$14,MATCH($B$9,$N$4:$N$14,0)),"")</f>
        <v>AED</v>
      </c>
      <c r="C12" s="26"/>
      <c r="D12" s="27" t="str">
        <f aca="false">IF($C$12="",$B$12,$C$12)</f>
        <v>AED</v>
      </c>
      <c r="E12" s="19" t="s">
        <v>91</v>
      </c>
      <c r="N12" s="16" t="s">
        <v>92</v>
      </c>
      <c r="O12" s="16" t="s">
        <v>93</v>
      </c>
      <c r="P12" s="16" t="n">
        <v>0.19</v>
      </c>
      <c r="Q12" s="16" t="n">
        <v>50000</v>
      </c>
      <c r="R12" s="16" t="n">
        <v>0</v>
      </c>
      <c r="S12" s="16" t="n">
        <v>0.15</v>
      </c>
      <c r="T12" s="16" t="n">
        <v>0.2</v>
      </c>
      <c r="U12" s="16" t="s">
        <v>94</v>
      </c>
    </row>
    <row r="13" customFormat="false" ht="15" hidden="false" customHeight="true" outlineLevel="0" collapsed="false">
      <c r="A13" s="24" t="s">
        <v>95</v>
      </c>
      <c r="B13" s="28" t="n">
        <f aca="false">IFERROR(INDEX($T$4:$T$14,MATCH($B$9,$N$4:$N$14,0)),"")</f>
        <v>0.05</v>
      </c>
      <c r="C13" s="29"/>
      <c r="D13" s="30" t="n">
        <f aca="false">IF($C$13="",$B$13,$C$13)</f>
        <v>0.05</v>
      </c>
      <c r="E13" s="19" t="s">
        <v>96</v>
      </c>
      <c r="N13" s="16" t="s">
        <v>97</v>
      </c>
      <c r="O13" s="16" t="s">
        <v>98</v>
      </c>
      <c r="P13" s="16" t="n">
        <v>0.21</v>
      </c>
      <c r="Q13" s="16" t="n">
        <v>0</v>
      </c>
      <c r="R13" s="16" t="n">
        <v>0</v>
      </c>
      <c r="S13" s="16" t="n">
        <v>0.0765</v>
      </c>
      <c r="T13" s="16" t="n">
        <v>0.075</v>
      </c>
      <c r="U13" s="16" t="s">
        <v>99</v>
      </c>
    </row>
    <row r="14" customFormat="false" ht="15" hidden="false" customHeight="true" outlineLevel="0" collapsed="false">
      <c r="N14" s="16" t="s">
        <v>100</v>
      </c>
      <c r="O14" s="16" t="s">
        <v>56</v>
      </c>
      <c r="P14" s="16" t="n">
        <v>0</v>
      </c>
      <c r="Q14" s="16" t="n">
        <v>0</v>
      </c>
      <c r="R14" s="16" t="n">
        <v>0</v>
      </c>
      <c r="S14" s="16" t="n">
        <v>0</v>
      </c>
      <c r="T14" s="16" t="n">
        <v>0</v>
      </c>
      <c r="U14" s="16" t="s">
        <v>101</v>
      </c>
    </row>
    <row r="15" customFormat="false" ht="57.75" hidden="false" customHeight="true" outlineLevel="0" collapsed="false">
      <c r="A15" s="31" t="str">
        <f aca="false">IFERROR(INDEX($U$4:$U$14,MATCH($B$9,$N$4:$N$14,0)),"")</f>
        <v>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v>
      </c>
      <c r="B15" s="31"/>
      <c r="C15" s="31"/>
      <c r="D15" s="31"/>
      <c r="E15" s="31"/>
    </row>
    <row r="16" customFormat="false" ht="30" hidden="false" customHeight="true" outlineLevel="0" collapsed="false">
      <c r="A16" s="13" t="s">
        <v>102</v>
      </c>
      <c r="B16" s="13"/>
      <c r="C16" s="13"/>
      <c r="D16" s="13"/>
      <c r="E16" s="13"/>
    </row>
    <row r="17" customFormat="false" ht="39.75" hidden="false" customHeight="true" outlineLevel="0" collapsed="false">
      <c r="A17" s="13" t="s">
        <v>103</v>
      </c>
      <c r="B17" s="13"/>
      <c r="C17" s="13"/>
      <c r="D17" s="13"/>
      <c r="E17" s="13"/>
    </row>
    <row r="18" customFormat="false" ht="15" hidden="false" customHeight="true" outlineLevel="0" collapsed="false">
      <c r="A18" s="15" t="s">
        <v>104</v>
      </c>
      <c r="B18" s="8"/>
      <c r="C18" s="8"/>
      <c r="D18" s="8"/>
      <c r="E18" s="8"/>
    </row>
    <row r="19" customFormat="false" ht="15" hidden="false" customHeight="true" outlineLevel="0" collapsed="false">
      <c r="A19" s="17" t="s">
        <v>105</v>
      </c>
      <c r="B19" s="32" t="n">
        <v>0.7</v>
      </c>
      <c r="E19" s="19" t="s">
        <v>106</v>
      </c>
    </row>
    <row r="20" customFormat="false" ht="42" hidden="false" customHeight="true" outlineLevel="0" collapsed="false">
      <c r="A20" s="13" t="s">
        <v>107</v>
      </c>
      <c r="B20" s="13"/>
      <c r="C20" s="13"/>
      <c r="D20" s="13"/>
      <c r="E20" s="13"/>
    </row>
    <row r="22" customFormat="false" ht="15" hidden="false" customHeight="true" outlineLevel="0" collapsed="false">
      <c r="A22" s="15" t="s">
        <v>108</v>
      </c>
      <c r="B22" s="8"/>
      <c r="C22" s="8"/>
      <c r="D22" s="8"/>
      <c r="E22" s="8"/>
    </row>
    <row r="23" customFormat="false" ht="19.5" hidden="false" customHeight="true" outlineLevel="0" collapsed="false">
      <c r="A23" s="33" t="s">
        <v>109</v>
      </c>
      <c r="B23" s="34" t="s">
        <v>110</v>
      </c>
      <c r="C23" s="34" t="s">
        <v>111</v>
      </c>
      <c r="D23" s="34"/>
      <c r="E23" s="34"/>
    </row>
    <row r="24" customFormat="false" ht="15" hidden="false" customHeight="true" outlineLevel="0" collapsed="false">
      <c r="A24" s="24" t="s">
        <v>112</v>
      </c>
      <c r="B24" s="26" t="s">
        <v>113</v>
      </c>
      <c r="C24" s="29" t="n">
        <v>0.27</v>
      </c>
    </row>
    <row r="25" customFormat="false" ht="15" hidden="false" customHeight="true" outlineLevel="0" collapsed="false">
      <c r="A25" s="24" t="s">
        <v>114</v>
      </c>
      <c r="B25" s="26" t="s">
        <v>115</v>
      </c>
      <c r="C25" s="29" t="n">
        <v>0.3</v>
      </c>
    </row>
    <row r="26" customFormat="false" ht="15" hidden="false" customHeight="true" outlineLevel="0" collapsed="false">
      <c r="A26" s="24" t="s">
        <v>116</v>
      </c>
      <c r="B26" s="26" t="s">
        <v>117</v>
      </c>
      <c r="C26" s="29" t="n">
        <v>0.25</v>
      </c>
    </row>
    <row r="27" customFormat="false" ht="15" hidden="false" customHeight="true" outlineLevel="0" collapsed="false">
      <c r="A27" s="24" t="s">
        <v>118</v>
      </c>
      <c r="B27" s="26" t="s">
        <v>119</v>
      </c>
      <c r="C27" s="29" t="n">
        <v>0.23</v>
      </c>
    </row>
    <row r="28" customFormat="false" ht="15" hidden="false" customHeight="true" outlineLevel="0" collapsed="false">
      <c r="A28" s="24" t="s">
        <v>120</v>
      </c>
      <c r="B28" s="26" t="s">
        <v>121</v>
      </c>
      <c r="C28" s="29" t="n">
        <v>0.08</v>
      </c>
    </row>
    <row r="30" customFormat="false" ht="15" hidden="false" customHeight="true" outlineLevel="0" collapsed="false">
      <c r="A30" s="17" t="s">
        <v>122</v>
      </c>
      <c r="B30" s="35" t="n">
        <v>1.2</v>
      </c>
      <c r="E30" s="19" t="s">
        <v>123</v>
      </c>
    </row>
    <row r="32" customFormat="false" ht="39.75" hidden="false" customHeight="true" outlineLevel="0" collapsed="false">
      <c r="A32" s="13" t="s">
        <v>124</v>
      </c>
      <c r="B32" s="13"/>
      <c r="C32" s="13"/>
      <c r="D32" s="13"/>
      <c r="E32" s="13"/>
    </row>
  </sheetData>
  <sheetProtection sheet="true" password="b7e1" objects="true" scenarios="true" formatCells="false" formatColumns="false" formatRows="false" sort="false" autoFilter="false"/>
  <mergeCells count="6">
    <mergeCell ref="A2:E2"/>
    <mergeCell ref="A15:E15"/>
    <mergeCell ref="A16:E16"/>
    <mergeCell ref="A17:E17"/>
    <mergeCell ref="A20:E20"/>
    <mergeCell ref="A32:E32"/>
  </mergeCells>
  <dataValidations count="1">
    <dataValidation allowBlank="false" errorStyle="stop" operator="between" showDropDown="false" showErrorMessage="false" showInputMessage="false" sqref="B9" type="list">
      <formula1>$N$4:$N$14</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Menu Engineering Workbook&amp;R&amp;8 &amp;K6b6157backofhouseco.com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7" min="3" style="1" width="14"/>
    <col collapsed="false" customWidth="true" hidden="false" outlineLevel="0" max="8" min="8" style="1" width="46"/>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6" customFormat="false" ht="21.75" hidden="false" customHeight="true" outlineLevel="0" collapsed="false">
      <c r="B6" s="36" t="str">
        <f aca="false">Settings!$B$5&amp;" - menu performance"</f>
        <v>Your cafe - menu performance</v>
      </c>
    </row>
    <row r="7" customFormat="false" ht="15" hidden="false" customHeight="true" outlineLevel="0" collapsed="false">
      <c r="B7" s="37" t="str">
        <f aca="false">"Everything here is calculated, over "&amp;Settings!$B$6&amp;". EXCLUDING VAT, in "&amp;Settings!$D$12&amp;"."</f>
        <v>Everything here is calculated, over One month. EXCLUDING VAT, in AED.</v>
      </c>
    </row>
    <row r="9" customFormat="false" ht="15" hidden="false" customHeight="true" outlineLevel="0" collapsed="false">
      <c r="B9" s="15" t="s">
        <v>125</v>
      </c>
      <c r="C9" s="8"/>
      <c r="D9" s="8"/>
      <c r="E9" s="8"/>
      <c r="F9" s="8"/>
      <c r="G9" s="8"/>
      <c r="H9" s="8"/>
    </row>
    <row r="11" customFormat="false" ht="15" hidden="false" customHeight="true" outlineLevel="0" collapsed="false">
      <c r="B11" s="38" t="str">
        <f aca="false">"TOTAL CONTRIBUTION  ("&amp;Settings!$D$12&amp;")"</f>
        <v>TOTAL CONTRIBUTION  (AED)</v>
      </c>
      <c r="C11" s="38"/>
      <c r="D11" s="39" t="s">
        <v>126</v>
      </c>
      <c r="E11" s="39"/>
      <c r="F11" s="38" t="str">
        <f aca="false">"AVERAGE PER ITEM  ("&amp;Settings!$D$12&amp;")"</f>
        <v>AVERAGE PER ITEM  (AED)</v>
      </c>
      <c r="G11" s="38"/>
    </row>
    <row r="12" customFormat="false" ht="19.5" hidden="false" customHeight="true" outlineLevel="0" collapsed="false">
      <c r="B12" s="40" t="n">
        <f aca="false">'Menu Items'!$K$19</f>
        <v>29101.6966666667</v>
      </c>
      <c r="C12" s="40"/>
      <c r="D12" s="40" t="n">
        <f aca="false">'Menu Items'!$I$19</f>
        <v>1610</v>
      </c>
      <c r="E12" s="40"/>
      <c r="F12" s="41" t="n">
        <f aca="false">'Menu Items'!$G$19</f>
        <v>18.0755879917184</v>
      </c>
      <c r="G12" s="41"/>
    </row>
    <row r="14" customFormat="false" ht="15" hidden="false" customHeight="true" outlineLevel="0" collapsed="false">
      <c r="B14" s="15" t="s">
        <v>127</v>
      </c>
      <c r="C14" s="8"/>
      <c r="D14" s="8"/>
      <c r="E14" s="8"/>
      <c r="F14" s="8"/>
      <c r="G14" s="8"/>
      <c r="H14" s="8"/>
    </row>
    <row r="16" customFormat="false" ht="21.75" hidden="false" customHeight="true" outlineLevel="0" collapsed="false">
      <c r="A16" s="33"/>
      <c r="B16" s="33"/>
      <c r="C16" s="34" t="s">
        <v>128</v>
      </c>
      <c r="D16" s="34" t="s">
        <v>129</v>
      </c>
      <c r="E16" s="34" t="s">
        <v>130</v>
      </c>
      <c r="F16" s="34"/>
      <c r="G16" s="34"/>
      <c r="H16" s="34"/>
    </row>
    <row r="17" customFormat="false" ht="15" hidden="false" customHeight="true" outlineLevel="0" collapsed="false">
      <c r="B17" s="42" t="s">
        <v>131</v>
      </c>
      <c r="C17" s="43" t="n">
        <f aca="false">COUNTIF('Menu Engineering'!$H$6:$H$17,"Star")</f>
        <v>2</v>
      </c>
      <c r="D17" s="44" t="n">
        <f aca="false">IFERROR(SUMIF('Menu Engineering'!$H$6:$H$17,"Star",'Menu Engineering'!$B$6:$B$17)/'Menu Items'!$I$19,0)</f>
        <v>0.217391304347826</v>
      </c>
      <c r="E17" s="44" t="n">
        <f aca="false">IFERROR(SUMIF('Menu Engineering'!$H$6:$H$17,"Star",'Menu Engineering'!$G$6:$G$17)/'Menu Items'!$K$19,0)</f>
        <v>0.253921064952472</v>
      </c>
      <c r="F17" s="45" t="s">
        <v>132</v>
      </c>
      <c r="G17" s="45"/>
      <c r="H17" s="45"/>
    </row>
    <row r="18" customFormat="false" ht="15" hidden="false" customHeight="true" outlineLevel="0" collapsed="false">
      <c r="B18" s="42" t="s">
        <v>133</v>
      </c>
      <c r="C18" s="43" t="n">
        <f aca="false">COUNTIF('Menu Engineering'!$H$6:$H$17,"Plough-horse")</f>
        <v>2</v>
      </c>
      <c r="D18" s="44" t="n">
        <f aca="false">IFERROR(SUMIF('Menu Engineering'!$H$6:$H$17,"Plough-horse",'Menu Engineering'!$B$6:$B$17)/'Menu Items'!$I$19,0)</f>
        <v>0.46583850931677</v>
      </c>
      <c r="E18" s="44" t="n">
        <f aca="false">IFERROR(SUMIF('Menu Engineering'!$H$6:$H$17,"Plough-horse",'Menu Engineering'!$G$6:$G$17)/'Menu Items'!$K$19,0)</f>
        <v>0.341398847912042</v>
      </c>
      <c r="F18" s="45" t="s">
        <v>134</v>
      </c>
      <c r="G18" s="45"/>
      <c r="H18" s="45"/>
    </row>
    <row r="19" customFormat="false" ht="15" hidden="false" customHeight="true" outlineLevel="0" collapsed="false">
      <c r="B19" s="42" t="s">
        <v>135</v>
      </c>
      <c r="C19" s="43" t="n">
        <f aca="false">COUNTIF('Menu Engineering'!$H$6:$H$17,"Puzzle")</f>
        <v>3</v>
      </c>
      <c r="D19" s="44" t="n">
        <f aca="false">IFERROR(SUMIF('Menu Engineering'!$H$6:$H$17,"Puzzle",'Menu Engineering'!$B$6:$B$17)/'Menu Items'!$I$19,0)</f>
        <v>0.242236024844721</v>
      </c>
      <c r="E19" s="44" t="n">
        <f aca="false">IFERROR(SUMIF('Menu Engineering'!$H$6:$H$17,"Puzzle",'Menu Engineering'!$G$6:$G$17)/'Menu Items'!$K$19,0)</f>
        <v>0.341736677994049</v>
      </c>
      <c r="F19" s="45" t="s">
        <v>136</v>
      </c>
      <c r="G19" s="45"/>
      <c r="H19" s="45"/>
    </row>
    <row r="20" customFormat="false" ht="15" hidden="false" customHeight="true" outlineLevel="0" collapsed="false">
      <c r="B20" s="42" t="s">
        <v>137</v>
      </c>
      <c r="C20" s="43" t="n">
        <f aca="false">COUNTIF('Menu Engineering'!$H$6:$H$17,"Dog")</f>
        <v>1</v>
      </c>
      <c r="D20" s="44" t="n">
        <f aca="false">IFERROR(SUMIF('Menu Engineering'!$H$6:$H$17,"Dog",'Menu Engineering'!$B$6:$B$17)/'Menu Items'!$I$19,0)</f>
        <v>0.0745341614906832</v>
      </c>
      <c r="E20" s="44" t="n">
        <f aca="false">IFERROR(SUMIF('Menu Engineering'!$H$6:$H$17,"Dog",'Menu Engineering'!$G$6:$G$17)/'Menu Items'!$K$19,0)</f>
        <v>0.0629434091414372</v>
      </c>
      <c r="F20" s="45" t="s">
        <v>138</v>
      </c>
      <c r="G20" s="45"/>
      <c r="H20" s="45"/>
    </row>
    <row r="22" customFormat="false" ht="15" hidden="false" customHeight="true" outlineLevel="0" collapsed="false">
      <c r="B22" s="15" t="s">
        <v>139</v>
      </c>
      <c r="C22" s="8"/>
      <c r="D22" s="8"/>
      <c r="E22" s="8"/>
      <c r="F22" s="8"/>
      <c r="G22" s="8"/>
      <c r="H22" s="8"/>
    </row>
    <row r="23" customFormat="false" ht="19.5" hidden="false" customHeight="true" outlineLevel="0" collapsed="false">
      <c r="B23" s="17" t="s">
        <v>140</v>
      </c>
      <c r="E23" s="46" t="n">
        <f aca="true">IFERROR(SUMPRODUCT(LARGE('Menu Items'!$K$7:$K$18,ROW(INDIRECT("1:10"))))/'Menu Items'!$K$19,0)</f>
        <v>0</v>
      </c>
    </row>
    <row r="24" customFormat="false" ht="19.5" hidden="false" customHeight="true" outlineLevel="0" collapsed="false">
      <c r="B24" s="17" t="s">
        <v>141</v>
      </c>
      <c r="E24" s="46" t="n">
        <f aca="true">IFERROR(SUMPRODUCT(SMALL('Menu Items'!$K$7:$K$18,ROW(INDIRECT("1:20"))))/'Menu Items'!$K$19,0)</f>
        <v>0</v>
      </c>
    </row>
    <row r="25" customFormat="false" ht="19.5" hidden="false" customHeight="true" outlineLevel="0" collapsed="false">
      <c r="B25" s="17" t="s">
        <v>142</v>
      </c>
      <c r="E25" s="47" t="str">
        <f aca="false">COUNTIFS('Menu Items'!$A$7:$A$18,"&lt;&gt;",'Menu Items'!$G$7:$G$18,"&lt;"&amp;'Menu Items'!$G$19)&amp;" of "&amp;COUNTIF('Menu Items'!$A$7:$A$18,"&lt;&gt;")</f>
        <v>3 of 8</v>
      </c>
    </row>
    <row r="27" customFormat="false" ht="39.75" hidden="false" customHeight="true" outlineLevel="0" collapsed="false">
      <c r="B27" s="48" t="str">
        <f aca="false">IF($D$18&gt;0.45,"More than four in ten of everything you sell is an item that earns BELOW the menu average. Taking cost out of those Plough-horses is worth more than anything else on this page, because the volume is already there and you do not have to win it.",IF(COUNTIF('Menu Engineering'!$H$6:$H$17,"Dog")&gt;=10,"You are carrying a lot of Dogs. A shorter menu is faster, cheaper to hold stock for and easier to cook well. Start there - it costs nothing to remove a line.",IF(COUNTIF('Menu Engineering'!$H$6:$H$17,"Puzzle")&gt;=COUNTIF('Menu Engineering'!$H$6:$H$17,"Star")*1.5,"You have more Puzzles than Stars - good dishes nobody is ordering. That is a menu layout and upselling problem, and it is the cheapest one on this list to fix.","The shape is healthy. Protect the Stars, work the Puzzles, and run this again next month.")))</f>
        <v>More than four in ten of everything you sell is an item that earns BELOW the menu average. Taking cost out of those Plough-horses is worth more than anything else on this page, because the volume is already there and you do not have to win it.</v>
      </c>
      <c r="C27" s="48"/>
      <c r="D27" s="48"/>
      <c r="E27" s="48"/>
      <c r="F27" s="48"/>
      <c r="G27" s="48"/>
      <c r="H27" s="48"/>
    </row>
    <row r="29" customFormat="false" ht="15" hidden="false" customHeight="true" outlineLevel="0" collapsed="false">
      <c r="B29" s="15" t="s">
        <v>143</v>
      </c>
      <c r="C29" s="8"/>
      <c r="D29" s="8"/>
      <c r="E29" s="8"/>
      <c r="F29" s="8"/>
      <c r="G29" s="8"/>
      <c r="H29" s="8"/>
    </row>
    <row r="30" customFormat="false" ht="27.75" hidden="false" customHeight="true" outlineLevel="0" collapsed="false">
      <c r="B30" s="49" t="s">
        <v>144</v>
      </c>
      <c r="D30" s="50" t="s">
        <v>145</v>
      </c>
      <c r="E30" s="50"/>
      <c r="F30" s="50"/>
      <c r="G30" s="50"/>
      <c r="H30" s="50"/>
    </row>
    <row r="32" customFormat="false" ht="27.75" hidden="false" customHeight="true" outlineLevel="0" collapsed="false">
      <c r="B32" s="49" t="s">
        <v>146</v>
      </c>
      <c r="D32" s="50" t="s">
        <v>147</v>
      </c>
      <c r="E32" s="50"/>
      <c r="F32" s="50"/>
      <c r="G32" s="50"/>
      <c r="H32" s="50"/>
    </row>
    <row r="34" customFormat="false" ht="27.75" hidden="false" customHeight="true" outlineLevel="0" collapsed="false">
      <c r="B34" s="49" t="s">
        <v>148</v>
      </c>
      <c r="D34" s="50" t="s">
        <v>149</v>
      </c>
      <c r="E34" s="50"/>
      <c r="F34" s="50"/>
      <c r="G34" s="50"/>
      <c r="H34" s="50"/>
    </row>
  </sheetData>
  <sheetProtection sheet="true" password="b7e1" objects="true" scenarios="true" formatCells="false" formatColumns="false" formatRows="false" sort="false" autoFilter="false"/>
  <mergeCells count="14">
    <mergeCell ref="B11:C11"/>
    <mergeCell ref="D11:E11"/>
    <mergeCell ref="F11:G11"/>
    <mergeCell ref="B12:C12"/>
    <mergeCell ref="D12:E12"/>
    <mergeCell ref="F12:G12"/>
    <mergeCell ref="F17:H17"/>
    <mergeCell ref="F18:H18"/>
    <mergeCell ref="F19:H19"/>
    <mergeCell ref="F20:H20"/>
    <mergeCell ref="B27:H27"/>
    <mergeCell ref="D30:H30"/>
    <mergeCell ref="D32:H32"/>
    <mergeCell ref="D34:H34"/>
  </mergeCell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&amp;K6b6157Back of House - Menu Engineering Workbook&amp;R&amp;8 &amp;K6b6157backofhouseco.com</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12"/>
    <col collapsed="false" customWidth="true" hidden="false" outlineLevel="0" max="3" min="3" style="1" width="16"/>
    <col collapsed="false" customWidth="true" hidden="false" outlineLevel="0" max="4" min="4" style="1" width="12"/>
    <col collapsed="false" customWidth="true" hidden="false" outlineLevel="0" max="6" min="5" style="1" width="13"/>
    <col collapsed="false" customWidth="true" hidden="false" outlineLevel="0" max="7" min="7" style="1" width="14"/>
    <col collapsed="false" customWidth="true" hidden="false" outlineLevel="0" max="8" min="8" style="1" width="11"/>
    <col collapsed="false" customWidth="true" hidden="false" outlineLevel="0" max="9" min="9" style="1" width="13"/>
    <col collapsed="false" customWidth="true" hidden="false" outlineLevel="0" max="10" min="10" style="1" width="14"/>
    <col collapsed="false" customWidth="true" hidden="false" outlineLevel="0" max="11" min="11" style="1" width="15"/>
    <col collapsed="false" customWidth="true" hidden="false" outlineLevel="0" max="12" min="12" style="1" width="12"/>
    <col collapsed="false" customWidth="true" hidden="false" outlineLevel="0" max="13" min="13" style="1" width="13"/>
    <col collapsed="false" customWidth="true" hidden="false" outlineLevel="0" max="14" min="14" style="1" width="11"/>
  </cols>
  <sheetData>
    <row r="1" customFormat="false" ht="18" hidden="false" customHeight="true" outlineLevel="0" collapsed="false">
      <c r="A1" s="12" t="s">
        <v>18</v>
      </c>
    </row>
    <row r="2" customFormat="false" ht="15" hidden="false" customHeight="true" outlineLevel="0" collapsed="false">
      <c r="A2" s="37" t="str">
        <f aca="false">" Everything starts here. Cost and price come from your costing file; units sold come from your point-of-sale. EXCLUDING VAT figures in "&amp;Settings!$D$12&amp;"."</f>
        <v> Everything starts here. Cost and price come from your costing file; units sold come from your point-of-sale. EXCLUDING VAT figures in AED.</v>
      </c>
    </row>
    <row r="3" customFormat="false" ht="27.75" hidden="false" customHeight="true" outlineLevel="0" collapsed="false">
      <c r="A3" s="13" t="s">
        <v>150</v>
      </c>
      <c r="B3" s="13"/>
      <c r="C3" s="13"/>
      <c r="D3" s="13"/>
      <c r="E3" s="13"/>
      <c r="F3" s="13"/>
      <c r="G3" s="13"/>
      <c r="H3" s="13"/>
      <c r="I3" s="13"/>
      <c r="J3" s="13"/>
      <c r="K3" s="13"/>
      <c r="L3" s="13"/>
      <c r="M3" s="13"/>
      <c r="N3" s="13"/>
    </row>
    <row r="4" customFormat="false" ht="15" hidden="false" customHeight="true" outlineLevel="0" collapsed="false">
      <c r="A4" s="13" t="s">
        <v>151</v>
      </c>
      <c r="B4" s="13"/>
      <c r="C4" s="13"/>
      <c r="D4" s="13"/>
      <c r="E4" s="13"/>
      <c r="F4" s="13"/>
      <c r="G4" s="13"/>
      <c r="H4" s="13"/>
      <c r="I4" s="13"/>
      <c r="J4" s="13"/>
      <c r="K4" s="13"/>
      <c r="L4" s="13"/>
      <c r="M4" s="13"/>
      <c r="N4" s="13"/>
    </row>
    <row r="6" customFormat="false" ht="31.5" hidden="false" customHeight="true" outlineLevel="0" collapsed="false">
      <c r="A6" s="33" t="s">
        <v>152</v>
      </c>
      <c r="B6" s="34" t="s">
        <v>153</v>
      </c>
      <c r="C6" s="34" t="s">
        <v>154</v>
      </c>
      <c r="D6" s="34" t="s">
        <v>155</v>
      </c>
      <c r="E6" s="34" t="s">
        <v>156</v>
      </c>
      <c r="F6" s="34" t="s">
        <v>157</v>
      </c>
      <c r="G6" s="34" t="s">
        <v>158</v>
      </c>
      <c r="H6" s="34" t="s">
        <v>159</v>
      </c>
      <c r="I6" s="34" t="s">
        <v>160</v>
      </c>
      <c r="J6" s="34" t="s">
        <v>161</v>
      </c>
      <c r="K6" s="34" t="s">
        <v>162</v>
      </c>
      <c r="L6" s="34" t="s">
        <v>163</v>
      </c>
      <c r="M6" s="34" t="s">
        <v>164</v>
      </c>
      <c r="N6" s="34" t="s">
        <v>165</v>
      </c>
    </row>
    <row r="7" customFormat="false" ht="15" hidden="false" customHeight="true" outlineLevel="0" collapsed="false">
      <c r="A7" s="51" t="s">
        <v>166</v>
      </c>
      <c r="B7" s="51" t="s">
        <v>167</v>
      </c>
      <c r="C7" s="51" t="s">
        <v>168</v>
      </c>
      <c r="D7" s="52" t="n">
        <v>11.402</v>
      </c>
      <c r="E7" s="52" t="n">
        <v>28</v>
      </c>
      <c r="F7" s="53" t="n">
        <f aca="false">IF($A7="","",IFERROR($E7/(1+Settings!$D$13),0))</f>
        <v>26.6666666666667</v>
      </c>
      <c r="G7" s="54" t="n">
        <f aca="false">IF($A7="","",IFERROR($F7-$D7,0))</f>
        <v>15.2646666666667</v>
      </c>
      <c r="H7" s="55" t="n">
        <f aca="false">IF($A7="","",IFERROR($G7/$F7,0))</f>
        <v>0.572425</v>
      </c>
      <c r="I7" s="56" t="n">
        <v>120</v>
      </c>
      <c r="J7" s="57" t="n">
        <f aca="false">IF($A7="","",IFERROR($F7*$I7,0))</f>
        <v>3200</v>
      </c>
      <c r="K7" s="58" t="n">
        <f aca="false">IF($A7="","",IFERROR($G7*$I7,0))</f>
        <v>1831.76</v>
      </c>
      <c r="L7" s="55" t="n">
        <f aca="false">IF($A7="","",IFERROR($I7/SUM($I$7:$I$18),0))</f>
        <v>0.0745341614906832</v>
      </c>
      <c r="M7" s="55" t="n">
        <f aca="false">IF($A7="","",IFERROR($K7/SUM($K$7:$K$18),0))</f>
        <v>0.0629434091414372</v>
      </c>
      <c r="N7" s="52" t="n">
        <v>1.2</v>
      </c>
    </row>
    <row r="8" customFormat="false" ht="15" hidden="false" customHeight="true" outlineLevel="0" collapsed="false">
      <c r="A8" s="51" t="s">
        <v>169</v>
      </c>
      <c r="B8" s="51" t="s">
        <v>167</v>
      </c>
      <c r="C8" s="51" t="s">
        <v>168</v>
      </c>
      <c r="D8" s="52" t="n">
        <v>7.915</v>
      </c>
      <c r="E8" s="52" t="n">
        <v>38</v>
      </c>
      <c r="F8" s="53" t="n">
        <f aca="false">IF($A8="","",IFERROR($E8/(1+Settings!$D$13),0))</f>
        <v>36.1904761904762</v>
      </c>
      <c r="G8" s="54" t="n">
        <f aca="false">IF($A8="","",IFERROR($F8-$D8,0))</f>
        <v>28.2754761904762</v>
      </c>
      <c r="H8" s="55" t="n">
        <f aca="false">IF($A8="","",IFERROR($G8/$F8,0))</f>
        <v>0.781296052631579</v>
      </c>
      <c r="I8" s="56" t="n">
        <v>120</v>
      </c>
      <c r="J8" s="57" t="n">
        <f aca="false">IF($A8="","",IFERROR($F8*$I8,0))</f>
        <v>4342.85714285714</v>
      </c>
      <c r="K8" s="58" t="n">
        <f aca="false">IF($A8="","",IFERROR($G8*$I8,0))</f>
        <v>3393.05714285714</v>
      </c>
      <c r="L8" s="55" t="n">
        <f aca="false">IF($A8="","",IFERROR($I8/SUM($I$7:$I$18),0))</f>
        <v>0.0745341614906832</v>
      </c>
      <c r="M8" s="55" t="n">
        <f aca="false">IF($A8="","",IFERROR($K8/SUM($K$7:$K$18),0))</f>
        <v>0.116593103890866</v>
      </c>
      <c r="N8" s="52" t="n">
        <v>1.6</v>
      </c>
    </row>
    <row r="9" customFormat="false" ht="15" hidden="false" customHeight="true" outlineLevel="0" collapsed="false">
      <c r="A9" s="51" t="s">
        <v>170</v>
      </c>
      <c r="B9" s="51" t="s">
        <v>167</v>
      </c>
      <c r="C9" s="51" t="s">
        <v>168</v>
      </c>
      <c r="D9" s="52" t="n">
        <v>11.935</v>
      </c>
      <c r="E9" s="52" t="n">
        <v>34</v>
      </c>
      <c r="F9" s="53" t="n">
        <f aca="false">IF($A9="","",IFERROR($E9/(1+Settings!$D$13),0))</f>
        <v>32.3809523809524</v>
      </c>
      <c r="G9" s="54" t="n">
        <f aca="false">IF($A9="","",IFERROR($F9-$D9,0))</f>
        <v>20.4459523809524</v>
      </c>
      <c r="H9" s="55" t="n">
        <f aca="false">IF($A9="","",IFERROR($G9/$F9,0))</f>
        <v>0.631419117647059</v>
      </c>
      <c r="I9" s="56" t="n">
        <v>180</v>
      </c>
      <c r="J9" s="57" t="n">
        <f aca="false">IF($A9="","",IFERROR($F9*$I9,0))</f>
        <v>5828.57142857143</v>
      </c>
      <c r="K9" s="58" t="n">
        <f aca="false">IF($A9="","",IFERROR($G9*$I9,0))</f>
        <v>3680.27142857143</v>
      </c>
      <c r="L9" s="55" t="n">
        <f aca="false">IF($A9="","",IFERROR($I9/SUM($I$7:$I$18),0))</f>
        <v>0.111801242236025</v>
      </c>
      <c r="M9" s="55" t="n">
        <f aca="false">IF($A9="","",IFERROR($K9/SUM($K$7:$K$18),0))</f>
        <v>0.126462435188078</v>
      </c>
      <c r="N9" s="52" t="n">
        <v>1.2</v>
      </c>
    </row>
    <row r="10" customFormat="false" ht="15" hidden="false" customHeight="true" outlineLevel="0" collapsed="false">
      <c r="A10" s="51" t="s">
        <v>171</v>
      </c>
      <c r="B10" s="51" t="s">
        <v>172</v>
      </c>
      <c r="C10" s="51" t="s">
        <v>173</v>
      </c>
      <c r="D10" s="52" t="n">
        <v>2.024</v>
      </c>
      <c r="E10" s="52" t="n">
        <v>15</v>
      </c>
      <c r="F10" s="53" t="n">
        <f aca="false">IF($A10="","",IFERROR($E10/(1+Settings!$D$13),0))</f>
        <v>14.2857142857143</v>
      </c>
      <c r="G10" s="54" t="n">
        <f aca="false">IF($A10="","",IFERROR($F10-$D10,0))</f>
        <v>12.2617142857143</v>
      </c>
      <c r="H10" s="55" t="n">
        <f aca="false">IF($A10="","",IFERROR($G10/$F10,0))</f>
        <v>0.85832</v>
      </c>
      <c r="I10" s="56" t="n">
        <v>600</v>
      </c>
      <c r="J10" s="57" t="n">
        <f aca="false">IF($A10="","",IFERROR($F10*$I10,0))</f>
        <v>8571.42857142857</v>
      </c>
      <c r="K10" s="58" t="n">
        <f aca="false">IF($A10="","",IFERROR($G10*$I10,0))</f>
        <v>7357.02857142857</v>
      </c>
      <c r="L10" s="55" t="n">
        <f aca="false">IF($A10="","",IFERROR($I10/SUM($I$7:$I$18),0))</f>
        <v>0.372670807453416</v>
      </c>
      <c r="M10" s="55" t="n">
        <f aca="false">IF($A10="","",IFERROR($K10/SUM($K$7:$K$18),0))</f>
        <v>0.252804111584854</v>
      </c>
      <c r="N10" s="52" t="n">
        <v>0.8</v>
      </c>
    </row>
    <row r="11" customFormat="false" ht="15" hidden="false" customHeight="true" outlineLevel="0" collapsed="false">
      <c r="A11" s="51" t="s">
        <v>174</v>
      </c>
      <c r="B11" s="51" t="s">
        <v>167</v>
      </c>
      <c r="C11" s="51" t="s">
        <v>168</v>
      </c>
      <c r="D11" s="52" t="n">
        <v>8.657</v>
      </c>
      <c r="E11" s="52" t="n">
        <v>32</v>
      </c>
      <c r="F11" s="53" t="n">
        <f aca="false">IF($A11="","",IFERROR($E11/(1+Settings!$D$13),0))</f>
        <v>30.4761904761905</v>
      </c>
      <c r="G11" s="54" t="n">
        <f aca="false">IF($A11="","",IFERROR($F11-$D11,0))</f>
        <v>21.8191904761905</v>
      </c>
      <c r="H11" s="55" t="n">
        <f aca="false">IF($A11="","",IFERROR($G11/$F11,0))</f>
        <v>0.7159421875</v>
      </c>
      <c r="I11" s="56" t="n">
        <v>170</v>
      </c>
      <c r="J11" s="57" t="n">
        <f aca="false">IF($A11="","",IFERROR($F11*$I11,0))</f>
        <v>5180.95238095238</v>
      </c>
      <c r="K11" s="58" t="n">
        <f aca="false">IF($A11="","",IFERROR($G11*$I11,0))</f>
        <v>3709.26238095238</v>
      </c>
      <c r="L11" s="55" t="n">
        <f aca="false">IF($A11="","",IFERROR($I11/SUM($I$7:$I$18),0))</f>
        <v>0.105590062111801</v>
      </c>
      <c r="M11" s="55" t="n">
        <f aca="false">IF($A11="","",IFERROR($K11/SUM($K$7:$K$18),0))</f>
        <v>0.127458629764395</v>
      </c>
      <c r="N11" s="52" t="n">
        <v>1.6</v>
      </c>
    </row>
    <row r="12" customFormat="false" ht="15" hidden="false" customHeight="true" outlineLevel="0" collapsed="false">
      <c r="A12" s="51" t="s">
        <v>175</v>
      </c>
      <c r="B12" s="51" t="s">
        <v>167</v>
      </c>
      <c r="C12" s="51" t="s">
        <v>168</v>
      </c>
      <c r="D12" s="52" t="n">
        <v>21.386</v>
      </c>
      <c r="E12" s="52" t="n">
        <v>42</v>
      </c>
      <c r="F12" s="53" t="n">
        <f aca="false">IF($A12="","",IFERROR($E12/(1+Settings!$D$13),0))</f>
        <v>40</v>
      </c>
      <c r="G12" s="54" t="n">
        <f aca="false">IF($A12="","",IFERROR($F12-$D12,0))</f>
        <v>18.614</v>
      </c>
      <c r="H12" s="55" t="n">
        <f aca="false">IF($A12="","",IFERROR($G12/$F12,0))</f>
        <v>0.46535</v>
      </c>
      <c r="I12" s="56" t="n">
        <v>130</v>
      </c>
      <c r="J12" s="57" t="n">
        <f aca="false">IF($A12="","",IFERROR($F12*$I12,0))</f>
        <v>5200</v>
      </c>
      <c r="K12" s="58" t="n">
        <f aca="false">IF($A12="","",IFERROR($G12*$I12,0))</f>
        <v>2419.82</v>
      </c>
      <c r="L12" s="55" t="n">
        <f aca="false">IF($A12="","",IFERROR($I12/SUM($I$7:$I$18),0))</f>
        <v>0.0807453416149068</v>
      </c>
      <c r="M12" s="55" t="n">
        <f aca="false">IF($A12="","",IFERROR($K12/SUM($K$7:$K$18),0))</f>
        <v>0.0831504783970786</v>
      </c>
      <c r="N12" s="52" t="n">
        <v>1.6</v>
      </c>
    </row>
    <row r="13" customFormat="false" ht="15" hidden="false" customHeight="true" outlineLevel="0" collapsed="false">
      <c r="A13" s="51" t="s">
        <v>176</v>
      </c>
      <c r="B13" s="51" t="s">
        <v>167</v>
      </c>
      <c r="C13" s="51" t="s">
        <v>168</v>
      </c>
      <c r="D13" s="52" t="n">
        <v>10.484</v>
      </c>
      <c r="E13" s="52" t="n">
        <v>42</v>
      </c>
      <c r="F13" s="53" t="n">
        <f aca="false">IF($A13="","",IFERROR($E13/(1+Settings!$D$13),0))</f>
        <v>40</v>
      </c>
      <c r="G13" s="54" t="n">
        <f aca="false">IF($A13="","",IFERROR($F13-$D13,0))</f>
        <v>29.516</v>
      </c>
      <c r="H13" s="55" t="n">
        <f aca="false">IF($A13="","",IFERROR($G13/$F13,0))</f>
        <v>0.7379</v>
      </c>
      <c r="I13" s="56" t="n">
        <v>140</v>
      </c>
      <c r="J13" s="57" t="n">
        <f aca="false">IF($A13="","",IFERROR($F13*$I13,0))</f>
        <v>5600</v>
      </c>
      <c r="K13" s="58" t="n">
        <f aca="false">IF($A13="","",IFERROR($G13*$I13,0))</f>
        <v>4132.24</v>
      </c>
      <c r="L13" s="55" t="n">
        <f aca="false">IF($A13="","",IFERROR($I13/SUM($I$7:$I$18),0))</f>
        <v>0.0869565217391304</v>
      </c>
      <c r="M13" s="55" t="n">
        <f aca="false">IF($A13="","",IFERROR($K13/SUM($K$7:$K$18),0))</f>
        <v>0.141993095706104</v>
      </c>
      <c r="N13" s="52" t="n">
        <v>1.6</v>
      </c>
    </row>
    <row r="14" customFormat="false" ht="15" hidden="false" customHeight="true" outlineLevel="0" collapsed="false">
      <c r="A14" s="51" t="s">
        <v>177</v>
      </c>
      <c r="B14" s="51" t="s">
        <v>178</v>
      </c>
      <c r="C14" s="51" t="s">
        <v>168</v>
      </c>
      <c r="D14" s="52" t="n">
        <v>3.764</v>
      </c>
      <c r="E14" s="52" t="n">
        <v>22</v>
      </c>
      <c r="F14" s="53" t="n">
        <f aca="false">IF($A14="","",IFERROR($E14/(1+Settings!$D$13),0))</f>
        <v>20.952380952381</v>
      </c>
      <c r="G14" s="54" t="n">
        <f aca="false">IF($A14="","",IFERROR($F14-$D14,0))</f>
        <v>17.188380952381</v>
      </c>
      <c r="H14" s="55" t="n">
        <f aca="false">IF($A14="","",IFERROR($G14/$F14,0))</f>
        <v>0.820354545454545</v>
      </c>
      <c r="I14" s="56" t="n">
        <v>150</v>
      </c>
      <c r="J14" s="57" t="n">
        <f aca="false">IF($A14="","",IFERROR($F14*$I14,0))</f>
        <v>3142.85714285714</v>
      </c>
      <c r="K14" s="58" t="n">
        <f aca="false">IF($A14="","",IFERROR($G14*$I14,0))</f>
        <v>2578.25714285714</v>
      </c>
      <c r="L14" s="55" t="n">
        <f aca="false">IF($A14="","",IFERROR($I14/SUM($I$7:$I$18),0))</f>
        <v>0.093167701863354</v>
      </c>
      <c r="M14" s="55" t="n">
        <f aca="false">IF($A14="","",IFERROR($K14/SUM($K$7:$K$18),0))</f>
        <v>0.0885947363271881</v>
      </c>
      <c r="N14" s="52" t="n">
        <v>0.7</v>
      </c>
    </row>
    <row r="15" customFormat="false" ht="15" hidden="false" customHeight="true" outlineLevel="0" collapsed="false">
      <c r="A15" s="51"/>
      <c r="B15" s="51"/>
      <c r="C15" s="51"/>
      <c r="D15" s="52"/>
      <c r="E15" s="52"/>
      <c r="F15" s="53" t="str">
        <f aca="false">IF($A15="","",IFERROR($E15/(1+Settings!$D$13),0))</f>
        <v/>
      </c>
      <c r="G15" s="54" t="str">
        <f aca="false">IF($A15="","",IFERROR($F15-$D15,0))</f>
        <v/>
      </c>
      <c r="H15" s="55" t="str">
        <f aca="false">IF($A15="","",IFERROR($G15/$F15,0))</f>
        <v/>
      </c>
      <c r="I15" s="56"/>
      <c r="J15" s="57" t="str">
        <f aca="false">IF($A15="","",IFERROR($F15*$I15,0))</f>
        <v/>
      </c>
      <c r="K15" s="58" t="str">
        <f aca="false">IF($A15="","",IFERROR($G15*$I15,0))</f>
        <v/>
      </c>
      <c r="L15" s="55" t="str">
        <f aca="false">IF($A15="","",IFERROR($I15/SUM($I$7:$I$18),0))</f>
        <v/>
      </c>
      <c r="M15" s="55" t="str">
        <f aca="false">IF($A15="","",IFERROR($K15/SUM($K$7:$K$18),0))</f>
        <v/>
      </c>
      <c r="N15" s="52"/>
    </row>
    <row r="16" customFormat="false" ht="15" hidden="false" customHeight="true" outlineLevel="0" collapsed="false">
      <c r="A16" s="51"/>
      <c r="B16" s="51"/>
      <c r="C16" s="51"/>
      <c r="D16" s="52"/>
      <c r="E16" s="52"/>
      <c r="F16" s="53" t="str">
        <f aca="false">IF($A16="","",IFERROR($E16/(1+Settings!$D$13),0))</f>
        <v/>
      </c>
      <c r="G16" s="54" t="str">
        <f aca="false">IF($A16="","",IFERROR($F16-$D16,0))</f>
        <v/>
      </c>
      <c r="H16" s="55" t="str">
        <f aca="false">IF($A16="","",IFERROR($G16/$F16,0))</f>
        <v/>
      </c>
      <c r="I16" s="56"/>
      <c r="J16" s="57" t="str">
        <f aca="false">IF($A16="","",IFERROR($F16*$I16,0))</f>
        <v/>
      </c>
      <c r="K16" s="58" t="str">
        <f aca="false">IF($A16="","",IFERROR($G16*$I16,0))</f>
        <v/>
      </c>
      <c r="L16" s="55" t="str">
        <f aca="false">IF($A16="","",IFERROR($I16/SUM($I$7:$I$18),0))</f>
        <v/>
      </c>
      <c r="M16" s="55" t="str">
        <f aca="false">IF($A16="","",IFERROR($K16/SUM($K$7:$K$18),0))</f>
        <v/>
      </c>
      <c r="N16" s="52"/>
    </row>
    <row r="17" customFormat="false" ht="15" hidden="false" customHeight="true" outlineLevel="0" collapsed="false">
      <c r="A17" s="51"/>
      <c r="B17" s="51"/>
      <c r="C17" s="51"/>
      <c r="D17" s="52"/>
      <c r="E17" s="52"/>
      <c r="F17" s="53" t="str">
        <f aca="false">IF($A17="","",IFERROR($E17/(1+Settings!$D$13),0))</f>
        <v/>
      </c>
      <c r="G17" s="54" t="str">
        <f aca="false">IF($A17="","",IFERROR($F17-$D17,0))</f>
        <v/>
      </c>
      <c r="H17" s="55" t="str">
        <f aca="false">IF($A17="","",IFERROR($G17/$F17,0))</f>
        <v/>
      </c>
      <c r="I17" s="56"/>
      <c r="J17" s="57" t="str">
        <f aca="false">IF($A17="","",IFERROR($F17*$I17,0))</f>
        <v/>
      </c>
      <c r="K17" s="58" t="str">
        <f aca="false">IF($A17="","",IFERROR($G17*$I17,0))</f>
        <v/>
      </c>
      <c r="L17" s="55" t="str">
        <f aca="false">IF($A17="","",IFERROR($I17/SUM($I$7:$I$18),0))</f>
        <v/>
      </c>
      <c r="M17" s="55" t="str">
        <f aca="false">IF($A17="","",IFERROR($K17/SUM($K$7:$K$18),0))</f>
        <v/>
      </c>
      <c r="N17" s="52"/>
    </row>
    <row r="18" customFormat="false" ht="15" hidden="false" customHeight="true" outlineLevel="0" collapsed="false">
      <c r="A18" s="51"/>
      <c r="B18" s="51"/>
      <c r="C18" s="51"/>
      <c r="D18" s="52"/>
      <c r="E18" s="52"/>
      <c r="F18" s="53" t="str">
        <f aca="false">IF($A18="","",IFERROR($E18/(1+Settings!$D$13),0))</f>
        <v/>
      </c>
      <c r="G18" s="54" t="str">
        <f aca="false">IF($A18="","",IFERROR($F18-$D18,0))</f>
        <v/>
      </c>
      <c r="H18" s="55" t="str">
        <f aca="false">IF($A18="","",IFERROR($G18/$F18,0))</f>
        <v/>
      </c>
      <c r="I18" s="56"/>
      <c r="J18" s="57" t="str">
        <f aca="false">IF($A18="","",IFERROR($F18*$I18,0))</f>
        <v/>
      </c>
      <c r="K18" s="58" t="str">
        <f aca="false">IF($A18="","",IFERROR($G18*$I18,0))</f>
        <v/>
      </c>
      <c r="L18" s="55" t="str">
        <f aca="false">IF($A18="","",IFERROR($I18/SUM($I$7:$I$18),0))</f>
        <v/>
      </c>
      <c r="M18" s="55" t="str">
        <f aca="false">IF($A18="","",IFERROR($K18/SUM($K$7:$K$18),0))</f>
        <v/>
      </c>
      <c r="N18" s="52"/>
    </row>
    <row r="19" customFormat="false" ht="15" hidden="false" customHeight="true" outlineLevel="0" collapsed="false">
      <c r="A19" s="59" t="s">
        <v>179</v>
      </c>
      <c r="B19" s="60"/>
      <c r="C19" s="60"/>
      <c r="D19" s="60"/>
      <c r="E19" s="60"/>
      <c r="F19" s="61" t="s">
        <v>180</v>
      </c>
      <c r="G19" s="62" t="n">
        <f aca="false">IFERROR($K$19/$I$19,0)</f>
        <v>18.0755879917184</v>
      </c>
      <c r="H19" s="60"/>
      <c r="I19" s="63" t="n">
        <f aca="false">SUM($I$7:$I$18)</f>
        <v>1610</v>
      </c>
      <c r="J19" s="63" t="n">
        <f aca="false">SUM($J$7:$J$18)</f>
        <v>41066.6666666667</v>
      </c>
      <c r="K19" s="63" t="n">
        <f aca="false">SUM($K$7:$K$18)</f>
        <v>29101.6966666667</v>
      </c>
      <c r="L19" s="60"/>
      <c r="M19" s="60"/>
      <c r="N19" s="60"/>
    </row>
    <row r="21" customFormat="false" ht="27.75" hidden="false" customHeight="true" outlineLevel="0" collapsed="false">
      <c r="A21" s="13" t="s">
        <v>181</v>
      </c>
      <c r="B21" s="13"/>
      <c r="C21" s="13"/>
      <c r="D21" s="13"/>
      <c r="E21" s="13"/>
      <c r="F21" s="13"/>
      <c r="G21" s="13"/>
      <c r="H21" s="13"/>
      <c r="I21" s="13"/>
      <c r="J21" s="13"/>
      <c r="K21" s="13"/>
      <c r="L21" s="13"/>
      <c r="M21" s="13"/>
      <c r="N21" s="13"/>
    </row>
  </sheetData>
  <sheetProtection sheet="true" password="b7e1" objects="true" scenarios="true" formatCells="false" formatColumns="false" formatRows="false" sort="false" autoFilter="false"/>
  <mergeCells count="3">
    <mergeCell ref="A3:N3"/>
    <mergeCell ref="A4:N4"/>
    <mergeCell ref="A21:N21"/>
  </mergeCells>
  <dataValidations count="2">
    <dataValidation allowBlank="false" errorStyle="stop" operator="between" showDropDown="false" showErrorMessage="false" showInputMessage="false" sqref="B7:B18" type="list">
      <formula1>"Core,Sides,Beverages"</formula1>
      <formula2>0</formula2>
    </dataValidation>
    <dataValidation allowBlank="false" errorStyle="stop" operator="between" showDropDown="false" showErrorMessage="false" showInputMessage="false" sqref="C7:C18" type="list">
      <formula1>"Food,Coffee &amp; Tea,Juice &amp; Smoothie"</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Menu Engineering Workbook&amp;R&amp;8 &amp;K6b6157backofhouseco.com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3" min="2" style="1" width="11"/>
    <col collapsed="false" customWidth="true" hidden="false" outlineLevel="0" max="7" min="4" style="1" width="13"/>
    <col collapsed="false" customWidth="true" hidden="false" outlineLevel="0" max="8" min="8" style="1" width="16"/>
    <col collapsed="false" customWidth="true" hidden="false" outlineLevel="0" max="9" min="9" style="1" width="62"/>
  </cols>
  <sheetData>
    <row r="1" customFormat="false" ht="18" hidden="false" customHeight="true" outlineLevel="0" collapsed="false">
      <c r="A1" s="12" t="s">
        <v>20</v>
      </c>
    </row>
    <row r="2" customFormat="false" ht="15" hidden="false" customHeight="true" outlineLevel="0" collapsed="false">
      <c r="A2" s="37" t="str">
        <f aca="false">" Every item placed in one of four boxes by how well it sells and how much it earns. EXCLUDING VAT, in "&amp;Settings!$D$12&amp;"."</f>
        <v> Every item placed in one of four boxes by how well it sells and how much it earns. EXCLUDING VAT, in AED.</v>
      </c>
    </row>
    <row r="3" customFormat="false" ht="25.5" hidden="false" customHeight="true" outlineLevel="0" collapsed="false">
      <c r="A3" s="13" t="s">
        <v>182</v>
      </c>
      <c r="B3" s="13"/>
      <c r="C3" s="13"/>
      <c r="D3" s="13"/>
      <c r="E3" s="13"/>
      <c r="F3" s="13"/>
      <c r="G3" s="13"/>
      <c r="H3" s="13"/>
      <c r="I3" s="13"/>
    </row>
    <row r="5" customFormat="false" ht="31.5" hidden="false" customHeight="true" outlineLevel="0" collapsed="false">
      <c r="A5" s="33" t="s">
        <v>152</v>
      </c>
      <c r="B5" s="34" t="s">
        <v>183</v>
      </c>
      <c r="C5" s="34" t="s">
        <v>163</v>
      </c>
      <c r="D5" s="34" t="s">
        <v>184</v>
      </c>
      <c r="E5" s="34" t="s">
        <v>158</v>
      </c>
      <c r="F5" s="34" t="s">
        <v>185</v>
      </c>
      <c r="G5" s="34" t="s">
        <v>162</v>
      </c>
      <c r="H5" s="34" t="s">
        <v>186</v>
      </c>
      <c r="I5" s="34" t="s">
        <v>187</v>
      </c>
    </row>
    <row r="6" customFormat="false" ht="15.75" hidden="false" customHeight="true" outlineLevel="0" collapsed="false">
      <c r="A6" s="64" t="str">
        <f aca="false">IF('Menu Items'!$A$7="","",'Menu Items'!$A$7)</f>
        <v>Tuna Melt Sandwich</v>
      </c>
      <c r="B6" s="65" t="n">
        <f aca="false">IF($A6="","",'Menu Items'!$I$7)</f>
        <v>120</v>
      </c>
      <c r="C6" s="66" t="n">
        <f aca="false">IF($A6="","",'Menu Items'!$L$7)</f>
        <v>0.0745341614906832</v>
      </c>
      <c r="D6" s="67" t="str">
        <f aca="false">IF($A6="","",IF($C6&gt;=IFERROR(1/COUNTIF('Menu Items'!$A$7:$A$18,"&lt;&gt;")*Settings!$B$19,0),"Popular","Slow"))</f>
        <v>Slow</v>
      </c>
      <c r="E6" s="68" t="n">
        <f aca="false">IF($A6="","",'Menu Items'!$G$7)</f>
        <v>15.2646666666667</v>
      </c>
      <c r="F6" s="67" t="str">
        <f aca="false">IF($A6="","",IF($E6&gt;='Menu Items'!$G$19,"Above","Below"))</f>
        <v>Below</v>
      </c>
      <c r="G6" s="65" t="n">
        <f aca="false">IF($A6="","",'Menu Items'!$K$7)</f>
        <v>1831.76</v>
      </c>
      <c r="H6" s="69" t="str">
        <f aca="false">IF($A6="","",IF(AND($D6="Popular",$F6="Above"),"Star",IF(AND($D6="Popular",$F6="Below"),"Plough-horse",IF(AND($D6="Slow",$F6="Above"),"Puzzle","Dog"))))</f>
        <v>Dog</v>
      </c>
      <c r="I6" s="70" t="str">
        <f aca="false">IF($A6="","",IF($H6="Star","Protect it. Do not change the recipe and do not let it run out.",IF($H6="Plough-horse","Take cost out first - portion, then supplier. Raise price only a little.",IF($H6="Puzzle","Move it up the menu, photograph it, train one line of upsell.","Take it off, unless you are keeping it on purpose."))))</f>
        <v>Take it off, unless you are keeping it on purpose.</v>
      </c>
    </row>
    <row r="7" customFormat="false" ht="15.75" hidden="false" customHeight="true" outlineLevel="0" collapsed="false">
      <c r="A7" s="64" t="str">
        <f aca="false">IF('Menu Items'!$A$8="","",'Menu Items'!$A$8)</f>
        <v>Chicken Fattoush</v>
      </c>
      <c r="B7" s="65" t="n">
        <f aca="false">IF($A7="","",'Menu Items'!$I$8)</f>
        <v>120</v>
      </c>
      <c r="C7" s="66" t="n">
        <f aca="false">IF($A7="","",'Menu Items'!$L$8)</f>
        <v>0.0745341614906832</v>
      </c>
      <c r="D7" s="67" t="str">
        <f aca="false">IF($A7="","",IF($C7&gt;=IFERROR(1/COUNTIF('Menu Items'!$A$7:$A$18,"&lt;&gt;")*Settings!$B$19,0),"Popular","Slow"))</f>
        <v>Slow</v>
      </c>
      <c r="E7" s="68" t="n">
        <f aca="false">IF($A7="","",'Menu Items'!$G$8)</f>
        <v>28.2754761904762</v>
      </c>
      <c r="F7" s="67" t="str">
        <f aca="false">IF($A7="","",IF($E7&gt;='Menu Items'!$G$19,"Above","Below"))</f>
        <v>Above</v>
      </c>
      <c r="G7" s="65" t="n">
        <f aca="false">IF($A7="","",'Menu Items'!$K$8)</f>
        <v>3393.05714285714</v>
      </c>
      <c r="H7" s="69" t="str">
        <f aca="false">IF($A7="","",IF(AND($D7="Popular",$F7="Above"),"Star",IF(AND($D7="Popular",$F7="Below"),"Plough-horse",IF(AND($D7="Slow",$F7="Above"),"Puzzle","Dog"))))</f>
        <v>Puzzle</v>
      </c>
      <c r="I7" s="70" t="str">
        <f aca="false">IF($A7="","",IF($H7="Star","Protect it. Do not change the recipe and do not let it run out.",IF($H7="Plough-horse","Take cost out first - portion, then supplier. Raise price only a little.",IF($H7="Puzzle","Move it up the menu, photograph it, train one line of upsell.","Take it off, unless you are keeping it on purpose."))))</f>
        <v>Move it up the menu, photograph it, train one line of upsell.</v>
      </c>
    </row>
    <row r="8" customFormat="false" ht="15.75" hidden="false" customHeight="true" outlineLevel="0" collapsed="false">
      <c r="A8" s="64" t="str">
        <f aca="false">IF('Menu Items'!$A$9="","",'Menu Items'!$A$9)</f>
        <v>Smoked Turkey Club</v>
      </c>
      <c r="B8" s="65" t="n">
        <f aca="false">IF($A8="","",'Menu Items'!$I$9)</f>
        <v>180</v>
      </c>
      <c r="C8" s="66" t="n">
        <f aca="false">IF($A8="","",'Menu Items'!$L$9)</f>
        <v>0.111801242236025</v>
      </c>
      <c r="D8" s="67" t="str">
        <f aca="false">IF($A8="","",IF($C8&gt;=IFERROR(1/COUNTIF('Menu Items'!$A$7:$A$18,"&lt;&gt;")*Settings!$B$19,0),"Popular","Slow"))</f>
        <v>Popular</v>
      </c>
      <c r="E8" s="68" t="n">
        <f aca="false">IF($A8="","",'Menu Items'!$G$9)</f>
        <v>20.4459523809524</v>
      </c>
      <c r="F8" s="67" t="str">
        <f aca="false">IF($A8="","",IF($E8&gt;='Menu Items'!$G$19,"Above","Below"))</f>
        <v>Above</v>
      </c>
      <c r="G8" s="65" t="n">
        <f aca="false">IF($A8="","",'Menu Items'!$K$9)</f>
        <v>3680.27142857143</v>
      </c>
      <c r="H8" s="69" t="str">
        <f aca="false">IF($A8="","",IF(AND($D8="Popular",$F8="Above"),"Star",IF(AND($D8="Popular",$F8="Below"),"Plough-horse",IF(AND($D8="Slow",$F8="Above"),"Puzzle","Dog"))))</f>
        <v>Star</v>
      </c>
      <c r="I8" s="70" t="str">
        <f aca="false">IF($A8="","",IF($H8="Star","Protect it. Do not change the recipe and do not let it run out.",IF($H8="Plough-horse","Take cost out first - portion, then supplier. Raise price only a little.",IF($H8="Puzzle","Move it up the menu, photograph it, train one line of upsell.","Take it off, unless you are keeping it on purpose."))))</f>
        <v>Protect it. Do not change the recipe and do not let it run out.</v>
      </c>
    </row>
    <row r="9" customFormat="false" ht="15.75" hidden="false" customHeight="true" outlineLevel="0" collapsed="false">
      <c r="A9" s="64" t="str">
        <f aca="false">IF('Menu Items'!$A$10="","",'Menu Items'!$A$10)</f>
        <v>Americano</v>
      </c>
      <c r="B9" s="65" t="n">
        <f aca="false">IF($A9="","",'Menu Items'!$I$10)</f>
        <v>600</v>
      </c>
      <c r="C9" s="66" t="n">
        <f aca="false">IF($A9="","",'Menu Items'!$L$10)</f>
        <v>0.372670807453416</v>
      </c>
      <c r="D9" s="67" t="str">
        <f aca="false">IF($A9="","",IF($C9&gt;=IFERROR(1/COUNTIF('Menu Items'!$A$7:$A$18,"&lt;&gt;")*Settings!$B$19,0),"Popular","Slow"))</f>
        <v>Popular</v>
      </c>
      <c r="E9" s="68" t="n">
        <f aca="false">IF($A9="","",'Menu Items'!$G$10)</f>
        <v>12.2617142857143</v>
      </c>
      <c r="F9" s="67" t="str">
        <f aca="false">IF($A9="","",IF($E9&gt;='Menu Items'!$G$19,"Above","Below"))</f>
        <v>Below</v>
      </c>
      <c r="G9" s="65" t="n">
        <f aca="false">IF($A9="","",'Menu Items'!$K$10)</f>
        <v>7357.02857142857</v>
      </c>
      <c r="H9" s="69" t="str">
        <f aca="false">IF($A9="","",IF(AND($D9="Popular",$F9="Above"),"Star",IF(AND($D9="Popular",$F9="Below"),"Plough-horse",IF(AND($D9="Slow",$F9="Above"),"Puzzle","Dog"))))</f>
        <v>Plough-horse</v>
      </c>
      <c r="I9" s="70" t="str">
        <f aca="false">IF($A9="","",IF($H9="Star","Protect it. Do not change the recipe and do not let it run out.",IF($H9="Plough-horse","Take cost out first - portion, then supplier. Raise price only a little.",IF($H9="Puzzle","Move it up the menu, photograph it, train one line of upsell.","Take it off, unless you are keeping it on purpose."))))</f>
        <v>Take cost out first - portion, then supplier. Raise price only a little.</v>
      </c>
    </row>
    <row r="10" customFormat="false" ht="15.75" hidden="false" customHeight="true" outlineLevel="0" collapsed="false">
      <c r="A10" s="64" t="str">
        <f aca="false">IF('Menu Items'!$A$11="","",'Menu Items'!$A$11)</f>
        <v>Granola and Yoghurt Bowl</v>
      </c>
      <c r="B10" s="65" t="n">
        <f aca="false">IF($A10="","",'Menu Items'!$I$11)</f>
        <v>170</v>
      </c>
      <c r="C10" s="66" t="n">
        <f aca="false">IF($A10="","",'Menu Items'!$L$11)</f>
        <v>0.105590062111801</v>
      </c>
      <c r="D10" s="67" t="str">
        <f aca="false">IF($A10="","",IF($C10&gt;=IFERROR(1/COUNTIF('Menu Items'!$A$7:$A$18,"&lt;&gt;")*Settings!$B$19,0),"Popular","Slow"))</f>
        <v>Popular</v>
      </c>
      <c r="E10" s="68" t="n">
        <f aca="false">IF($A10="","",'Menu Items'!$G$11)</f>
        <v>21.8191904761905</v>
      </c>
      <c r="F10" s="67" t="str">
        <f aca="false">IF($A10="","",IF($E10&gt;='Menu Items'!$G$19,"Above","Below"))</f>
        <v>Above</v>
      </c>
      <c r="G10" s="65" t="n">
        <f aca="false">IF($A10="","",'Menu Items'!$K$11)</f>
        <v>3709.26238095238</v>
      </c>
      <c r="H10" s="69" t="str">
        <f aca="false">IF($A10="","",IF(AND($D10="Popular",$F10="Above"),"Star",IF(AND($D10="Popular",$F10="Below"),"Plough-horse",IF(AND($D10="Slow",$F10="Above"),"Puzzle","Dog"))))</f>
        <v>Star</v>
      </c>
      <c r="I10" s="70" t="str">
        <f aca="false">IF($A10="","",IF($H10="Star","Protect it. Do not change the recipe and do not let it run out.",IF($H10="Plough-horse","Take cost out first - portion, then supplier. Raise price only a little.",IF($H10="Puzzle","Move it up the menu, photograph it, train one line of upsell.","Take it off, unless you are keeping it on purpose."))))</f>
        <v>Protect it. Do not change the recipe and do not let it run out.</v>
      </c>
    </row>
    <row r="11" customFormat="false" ht="15.75" hidden="false" customHeight="true" outlineLevel="0" collapsed="false">
      <c r="A11" s="64" t="str">
        <f aca="false">IF('Menu Items'!$A$12="","",'Menu Items'!$A$12)</f>
        <v>Acai Bowl</v>
      </c>
      <c r="B11" s="65" t="n">
        <f aca="false">IF($A11="","",'Menu Items'!$I$12)</f>
        <v>130</v>
      </c>
      <c r="C11" s="66" t="n">
        <f aca="false">IF($A11="","",'Menu Items'!$L$12)</f>
        <v>0.0807453416149068</v>
      </c>
      <c r="D11" s="67" t="str">
        <f aca="false">IF($A11="","",IF($C11&gt;=IFERROR(1/COUNTIF('Menu Items'!$A$7:$A$18,"&lt;&gt;")*Settings!$B$19,0),"Popular","Slow"))</f>
        <v>Slow</v>
      </c>
      <c r="E11" s="68" t="n">
        <f aca="false">IF($A11="","",'Menu Items'!$G$12)</f>
        <v>18.614</v>
      </c>
      <c r="F11" s="67" t="str">
        <f aca="false">IF($A11="","",IF($E11&gt;='Menu Items'!$G$19,"Above","Below"))</f>
        <v>Above</v>
      </c>
      <c r="G11" s="65" t="n">
        <f aca="false">IF($A11="","",'Menu Items'!$K$12)</f>
        <v>2419.82</v>
      </c>
      <c r="H11" s="69" t="str">
        <f aca="false">IF($A11="","",IF(AND($D11="Popular",$F11="Above"),"Star",IF(AND($D11="Popular",$F11="Below"),"Plough-horse",IF(AND($D11="Slow",$F11="Above"),"Puzzle","Dog"))))</f>
        <v>Puzzle</v>
      </c>
      <c r="I11" s="70" t="str">
        <f aca="false">IF($A11="","",IF($H11="Star","Protect it. Do not change the recipe and do not let it run out.",IF($H11="Plough-horse","Take cost out first - portion, then supplier. Raise price only a little.",IF($H11="Puzzle","Move it up the menu, photograph it, train one line of upsell.","Take it off, unless you are keeping it on purpose."))))</f>
        <v>Move it up the menu, photograph it, train one line of upsell.</v>
      </c>
    </row>
    <row r="12" customFormat="false" ht="15.75" hidden="false" customHeight="true" outlineLevel="0" collapsed="false">
      <c r="A12" s="64" t="str">
        <f aca="false">IF('Menu Items'!$A$13="","",'Menu Items'!$A$13)</f>
        <v>Quinoa and Halloumi Salad</v>
      </c>
      <c r="B12" s="65" t="n">
        <f aca="false">IF($A12="","",'Menu Items'!$I$13)</f>
        <v>140</v>
      </c>
      <c r="C12" s="66" t="n">
        <f aca="false">IF($A12="","",'Menu Items'!$L$13)</f>
        <v>0.0869565217391304</v>
      </c>
      <c r="D12" s="67" t="str">
        <f aca="false">IF($A12="","",IF($C12&gt;=IFERROR(1/COUNTIF('Menu Items'!$A$7:$A$18,"&lt;&gt;")*Settings!$B$19,0),"Popular","Slow"))</f>
        <v>Slow</v>
      </c>
      <c r="E12" s="68" t="n">
        <f aca="false">IF($A12="","",'Menu Items'!$G$13)</f>
        <v>29.516</v>
      </c>
      <c r="F12" s="67" t="str">
        <f aca="false">IF($A12="","",IF($E12&gt;='Menu Items'!$G$19,"Above","Below"))</f>
        <v>Above</v>
      </c>
      <c r="G12" s="65" t="n">
        <f aca="false">IF($A12="","",'Menu Items'!$K$13)</f>
        <v>4132.24</v>
      </c>
      <c r="H12" s="69" t="str">
        <f aca="false">IF($A12="","",IF(AND($D12="Popular",$F12="Above"),"Star",IF(AND($D12="Popular",$F12="Below"),"Plough-horse",IF(AND($D12="Slow",$F12="Above"),"Puzzle","Dog"))))</f>
        <v>Puzzle</v>
      </c>
      <c r="I12" s="70" t="str">
        <f aca="false">IF($A12="","",IF($H12="Star","Protect it. Do not change the recipe and do not let it run out.",IF($H12="Plough-horse","Take cost out first - portion, then supplier. Raise price only a little.",IF($H12="Puzzle","Move it up the menu, photograph it, train one line of upsell.","Take it off, unless you are keeping it on purpose."))))</f>
        <v>Move it up the menu, photograph it, train one line of upsell.</v>
      </c>
    </row>
    <row r="13" customFormat="false" ht="15.75" hidden="false" customHeight="true" outlineLevel="0" collapsed="false">
      <c r="A13" s="64" t="str">
        <f aca="false">IF('Menu Items'!$A$14="","",'Menu Items'!$A$14)</f>
        <v>Hummus and Bread</v>
      </c>
      <c r="B13" s="65" t="n">
        <f aca="false">IF($A13="","",'Menu Items'!$I$14)</f>
        <v>150</v>
      </c>
      <c r="C13" s="66" t="n">
        <f aca="false">IF($A13="","",'Menu Items'!$L$14)</f>
        <v>0.093167701863354</v>
      </c>
      <c r="D13" s="67" t="str">
        <f aca="false">IF($A13="","",IF($C13&gt;=IFERROR(1/COUNTIF('Menu Items'!$A$7:$A$18,"&lt;&gt;")*Settings!$B$19,0),"Popular","Slow"))</f>
        <v>Popular</v>
      </c>
      <c r="E13" s="68" t="n">
        <f aca="false">IF($A13="","",'Menu Items'!$G$14)</f>
        <v>17.188380952381</v>
      </c>
      <c r="F13" s="67" t="str">
        <f aca="false">IF($A13="","",IF($E13&gt;='Menu Items'!$G$19,"Above","Below"))</f>
        <v>Below</v>
      </c>
      <c r="G13" s="65" t="n">
        <f aca="false">IF($A13="","",'Menu Items'!$K$14)</f>
        <v>2578.25714285714</v>
      </c>
      <c r="H13" s="69" t="str">
        <f aca="false">IF($A13="","",IF(AND($D13="Popular",$F13="Above"),"Star",IF(AND($D13="Popular",$F13="Below"),"Plough-horse",IF(AND($D13="Slow",$F13="Above"),"Puzzle","Dog"))))</f>
        <v>Plough-horse</v>
      </c>
      <c r="I13" s="70" t="str">
        <f aca="false">IF($A13="","",IF($H13="Star","Protect it. Do not change the recipe and do not let it run out.",IF($H13="Plough-horse","Take cost out first - portion, then supplier. Raise price only a little.",IF($H13="Puzzle","Move it up the menu, photograph it, train one line of upsell.","Take it off, unless you are keeping it on purpose."))))</f>
        <v>Take cost out first - portion, then supplier. Raise price only a little.</v>
      </c>
    </row>
    <row r="14" customFormat="false" ht="15.75" hidden="false" customHeight="true" outlineLevel="0" collapsed="false">
      <c r="A14" s="64" t="str">
        <f aca="false">IF('Menu Items'!$A$15="","",'Menu Items'!$A$15)</f>
        <v/>
      </c>
      <c r="B14" s="65" t="str">
        <f aca="false">IF($A14="","",'Menu Items'!$I$15)</f>
        <v/>
      </c>
      <c r="C14" s="66" t="str">
        <f aca="false">IF($A14="","",'Menu Items'!$L$15)</f>
        <v/>
      </c>
      <c r="D14" s="67" t="str">
        <f aca="false">IF($A14="","",IF($C14&gt;=IFERROR(1/COUNTIF('Menu Items'!$A$7:$A$18,"&lt;&gt;")*Settings!$B$19,0),"Popular","Slow"))</f>
        <v/>
      </c>
      <c r="E14" s="68" t="str">
        <f aca="false">IF($A14="","",'Menu Items'!$G$15)</f>
        <v/>
      </c>
      <c r="F14" s="67" t="str">
        <f aca="false">IF($A14="","",IF($E14&gt;='Menu Items'!$G$19,"Above","Below"))</f>
        <v/>
      </c>
      <c r="G14" s="65" t="str">
        <f aca="false">IF($A14="","",'Menu Items'!$K$15)</f>
        <v/>
      </c>
      <c r="H14" s="69" t="str">
        <f aca="false">IF($A14="","",IF(AND($D14="Popular",$F14="Above"),"Star",IF(AND($D14="Popular",$F14="Below"),"Plough-horse",IF(AND($D14="Slow",$F14="Above"),"Puzzle","Dog"))))</f>
        <v/>
      </c>
      <c r="I14" s="70" t="str">
        <f aca="false">IF($A14="","",IF($H14="Star","Protect it. Do not change the recipe and do not let it run out.",IF($H14="Plough-horse","Take cost out first - portion, then supplier. Raise price only a little.",IF($H14="Puzzle","Move it up the menu, photograph it, train one line of upsell.","Take it off, unless you are keeping it on purpose."))))</f>
        <v/>
      </c>
    </row>
    <row r="15" customFormat="false" ht="15.75" hidden="false" customHeight="true" outlineLevel="0" collapsed="false">
      <c r="A15" s="64" t="str">
        <f aca="false">IF('Menu Items'!$A$16="","",'Menu Items'!$A$16)</f>
        <v/>
      </c>
      <c r="B15" s="65" t="str">
        <f aca="false">IF($A15="","",'Menu Items'!$I$16)</f>
        <v/>
      </c>
      <c r="C15" s="66" t="str">
        <f aca="false">IF($A15="","",'Menu Items'!$L$16)</f>
        <v/>
      </c>
      <c r="D15" s="67" t="str">
        <f aca="false">IF($A15="","",IF($C15&gt;=IFERROR(1/COUNTIF('Menu Items'!$A$7:$A$18,"&lt;&gt;")*Settings!$B$19,0),"Popular","Slow"))</f>
        <v/>
      </c>
      <c r="E15" s="68" t="str">
        <f aca="false">IF($A15="","",'Menu Items'!$G$16)</f>
        <v/>
      </c>
      <c r="F15" s="67" t="str">
        <f aca="false">IF($A15="","",IF($E15&gt;='Menu Items'!$G$19,"Above","Below"))</f>
        <v/>
      </c>
      <c r="G15" s="65" t="str">
        <f aca="false">IF($A15="","",'Menu Items'!$K$16)</f>
        <v/>
      </c>
      <c r="H15" s="69" t="str">
        <f aca="false">IF($A15="","",IF(AND($D15="Popular",$F15="Above"),"Star",IF(AND($D15="Popular",$F15="Below"),"Plough-horse",IF(AND($D15="Slow",$F15="Above"),"Puzzle","Dog"))))</f>
        <v/>
      </c>
      <c r="I15" s="70" t="str">
        <f aca="false">IF($A15="","",IF($H15="Star","Protect it. Do not change the recipe and do not let it run out.",IF($H15="Plough-horse","Take cost out first - portion, then supplier. Raise price only a little.",IF($H15="Puzzle","Move it up the menu, photograph it, train one line of upsell.","Take it off, unless you are keeping it on purpose."))))</f>
        <v/>
      </c>
    </row>
    <row r="16" customFormat="false" ht="15.75" hidden="false" customHeight="true" outlineLevel="0" collapsed="false">
      <c r="A16" s="64" t="str">
        <f aca="false">IF('Menu Items'!$A$17="","",'Menu Items'!$A$17)</f>
        <v/>
      </c>
      <c r="B16" s="65" t="str">
        <f aca="false">IF($A16="","",'Menu Items'!$I$17)</f>
        <v/>
      </c>
      <c r="C16" s="66" t="str">
        <f aca="false">IF($A16="","",'Menu Items'!$L$17)</f>
        <v/>
      </c>
      <c r="D16" s="67" t="str">
        <f aca="false">IF($A16="","",IF($C16&gt;=IFERROR(1/COUNTIF('Menu Items'!$A$7:$A$18,"&lt;&gt;")*Settings!$B$19,0),"Popular","Slow"))</f>
        <v/>
      </c>
      <c r="E16" s="68" t="str">
        <f aca="false">IF($A16="","",'Menu Items'!$G$17)</f>
        <v/>
      </c>
      <c r="F16" s="67" t="str">
        <f aca="false">IF($A16="","",IF($E16&gt;='Menu Items'!$G$19,"Above","Below"))</f>
        <v/>
      </c>
      <c r="G16" s="65" t="str">
        <f aca="false">IF($A16="","",'Menu Items'!$K$17)</f>
        <v/>
      </c>
      <c r="H16" s="69" t="str">
        <f aca="false">IF($A16="","",IF(AND($D16="Popular",$F16="Above"),"Star",IF(AND($D16="Popular",$F16="Below"),"Plough-horse",IF(AND($D16="Slow",$F16="Above"),"Puzzle","Dog"))))</f>
        <v/>
      </c>
      <c r="I16" s="70" t="str">
        <f aca="false">IF($A16="","",IF($H16="Star","Protect it. Do not change the recipe and do not let it run out.",IF($H16="Plough-horse","Take cost out first - portion, then supplier. Raise price only a little.",IF($H16="Puzzle","Move it up the menu, photograph it, train one line of upsell.","Take it off, unless you are keeping it on purpose."))))</f>
        <v/>
      </c>
    </row>
    <row r="17" customFormat="false" ht="15.75" hidden="false" customHeight="true" outlineLevel="0" collapsed="false">
      <c r="A17" s="64" t="str">
        <f aca="false">IF('Menu Items'!$A$18="","",'Menu Items'!$A$18)</f>
        <v/>
      </c>
      <c r="B17" s="65" t="str">
        <f aca="false">IF($A17="","",'Menu Items'!$I$18)</f>
        <v/>
      </c>
      <c r="C17" s="66" t="str">
        <f aca="false">IF($A17="","",'Menu Items'!$L$18)</f>
        <v/>
      </c>
      <c r="D17" s="67" t="str">
        <f aca="false">IF($A17="","",IF($C17&gt;=IFERROR(1/COUNTIF('Menu Items'!$A$7:$A$18,"&lt;&gt;")*Settings!$B$19,0),"Popular","Slow"))</f>
        <v/>
      </c>
      <c r="E17" s="68" t="str">
        <f aca="false">IF($A17="","",'Menu Items'!$G$18)</f>
        <v/>
      </c>
      <c r="F17" s="67" t="str">
        <f aca="false">IF($A17="","",IF($E17&gt;='Menu Items'!$G$19,"Above","Below"))</f>
        <v/>
      </c>
      <c r="G17" s="65" t="str">
        <f aca="false">IF($A17="","",'Menu Items'!$K$18)</f>
        <v/>
      </c>
      <c r="H17" s="69" t="str">
        <f aca="false">IF($A17="","",IF(AND($D17="Popular",$F17="Above"),"Star",IF(AND($D17="Popular",$F17="Below"),"Plough-horse",IF(AND($D17="Slow",$F17="Above"),"Puzzle","Dog"))))</f>
        <v/>
      </c>
      <c r="I17" s="70" t="str">
        <f aca="false">IF($A17="","",IF($H17="Star","Protect it. Do not change the recipe and do not let it run out.",IF($H17="Plough-horse","Take cost out first - portion, then supplier. Raise price only a little.",IF($H17="Puzzle","Move it up the menu, photograph it, train one line of upsell.","Take it off, unless you are keeping it on purpose."))))</f>
        <v/>
      </c>
    </row>
    <row r="19" customFormat="false" ht="15" hidden="false" customHeight="true" outlineLevel="0" collapsed="false">
      <c r="A19" s="15" t="s">
        <v>188</v>
      </c>
      <c r="B19" s="8"/>
      <c r="C19" s="8"/>
      <c r="D19" s="8"/>
      <c r="E19" s="8"/>
      <c r="F19" s="8"/>
      <c r="G19" s="8"/>
      <c r="H19" s="8"/>
      <c r="I19" s="8"/>
    </row>
    <row r="20" customFormat="false" ht="33.75" hidden="false" customHeight="true" outlineLevel="0" collapsed="false">
      <c r="A20" s="49" t="s">
        <v>189</v>
      </c>
      <c r="B20" s="50" t="s">
        <v>190</v>
      </c>
      <c r="C20" s="50"/>
      <c r="D20" s="50"/>
      <c r="E20" s="50"/>
      <c r="F20" s="50"/>
      <c r="G20" s="50"/>
      <c r="H20" s="50"/>
      <c r="I20" s="50"/>
    </row>
    <row r="22" customFormat="false" ht="33.75" hidden="false" customHeight="true" outlineLevel="0" collapsed="false">
      <c r="A22" s="49" t="s">
        <v>191</v>
      </c>
      <c r="B22" s="50" t="s">
        <v>192</v>
      </c>
      <c r="C22" s="50"/>
      <c r="D22" s="50"/>
      <c r="E22" s="50"/>
      <c r="F22" s="50"/>
      <c r="G22" s="50"/>
      <c r="H22" s="50"/>
      <c r="I22" s="50"/>
    </row>
    <row r="24" customFormat="false" ht="33.75" hidden="false" customHeight="true" outlineLevel="0" collapsed="false">
      <c r="A24" s="49" t="s">
        <v>193</v>
      </c>
      <c r="B24" s="50" t="s">
        <v>194</v>
      </c>
      <c r="C24" s="50"/>
      <c r="D24" s="50"/>
      <c r="E24" s="50"/>
      <c r="F24" s="50"/>
      <c r="G24" s="50"/>
      <c r="H24" s="50"/>
      <c r="I24" s="50"/>
    </row>
    <row r="26" customFormat="false" ht="33.75" hidden="false" customHeight="true" outlineLevel="0" collapsed="false">
      <c r="A26" s="49" t="s">
        <v>195</v>
      </c>
      <c r="B26" s="50" t="s">
        <v>196</v>
      </c>
      <c r="C26" s="50"/>
      <c r="D26" s="50"/>
      <c r="E26" s="50"/>
      <c r="F26" s="50"/>
      <c r="G26" s="50"/>
      <c r="H26" s="50"/>
      <c r="I26" s="50"/>
    </row>
  </sheetData>
  <sheetProtection sheet="true" password="b7e1" objects="true" scenarios="true" formatCells="false" formatColumns="false" formatRows="false" sort="false" autoFilter="false"/>
  <mergeCells count="5">
    <mergeCell ref="A3:I3"/>
    <mergeCell ref="B20:I20"/>
    <mergeCell ref="B22:I22"/>
    <mergeCell ref="B24:I24"/>
    <mergeCell ref="B26:I26"/>
  </mergeCells>
  <conditionalFormatting sqref="H6:H17">
    <cfRule type="expression" priority="2" aboveAverage="0" equalAverage="0" bottom="0" percent="0" rank="0" text="" dxfId="0">
      <formula>$H6="Star"</formula>
    </cfRule>
    <cfRule type="expression" priority="3" aboveAverage="0" equalAverage="0" bottom="0" percent="0" rank="0" text="" dxfId="1">
      <formula>$H6="Plough-horse"</formula>
    </cfRule>
    <cfRule type="expression" priority="4" aboveAverage="0" equalAverage="0" bottom="0" percent="0" rank="0" text="" dxfId="1">
      <formula>$H6="Puzzle"</formula>
    </cfRule>
    <cfRule type="expression" priority="5" aboveAverage="0" equalAverage="0" bottom="0" percent="0" rank="0" text="" dxfId="2">
      <formula>$H6="Dog"</formula>
    </cfRule>
  </conditionalFormatting>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Menu Engineering Workbook&amp;R&amp;8 &amp;K6b6157backofhouseco.com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22"/>
    <col collapsed="false" customWidth="true" hidden="false" outlineLevel="0" max="5" min="5" style="1"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2" t="s">
        <v>197</v>
      </c>
      <c r="C9" s="2"/>
      <c r="D9" s="2"/>
      <c r="E9" s="2"/>
    </row>
    <row r="10" customFormat="false" ht="15" hidden="false" customHeight="true" outlineLevel="0" collapsed="false">
      <c r="B10" s="3" t="s">
        <v>198</v>
      </c>
      <c r="C10" s="3"/>
      <c r="D10" s="3"/>
      <c r="E10" s="3"/>
    </row>
    <row r="12" customFormat="false" ht="18.75" hidden="false" customHeight="true" outlineLevel="0" collapsed="false">
      <c r="B12" s="15" t="s">
        <v>199</v>
      </c>
      <c r="C12" s="8"/>
      <c r="D12" s="8"/>
      <c r="E12" s="8"/>
    </row>
    <row r="13" customFormat="false" ht="15" hidden="false" customHeight="true" outlineLevel="0" collapsed="false">
      <c r="B13" s="13" t="s">
        <v>200</v>
      </c>
      <c r="C13" s="13"/>
      <c r="D13" s="13"/>
      <c r="E13" s="13"/>
    </row>
    <row r="14" customFormat="false" ht="19.5" hidden="false" customHeight="true" outlineLevel="0" collapsed="false">
      <c r="B14" s="71" t="s">
        <v>201</v>
      </c>
      <c r="C14" s="72" t="n">
        <f aca="false">COUNTIF('Menu Items'!$A$7:$A$18,"&lt;&gt;")</f>
        <v>8</v>
      </c>
    </row>
    <row r="15" customFormat="false" ht="19.5" hidden="false" customHeight="true" outlineLevel="0" collapsed="false">
      <c r="B15" s="71" t="s">
        <v>202</v>
      </c>
      <c r="C15" s="72" t="n">
        <f aca="false">COUNTIF('Menu Engineering'!$H$6:$H$17,"Star")</f>
        <v>2</v>
      </c>
    </row>
    <row r="16" customFormat="false" ht="19.5" hidden="false" customHeight="true" outlineLevel="0" collapsed="false">
      <c r="B16" s="71" t="s">
        <v>203</v>
      </c>
      <c r="C16" s="72" t="n">
        <f aca="false">(COUNTIF('Menu Engineering'!$H$6:$H$17,"Plough-horse")+COUNTIF('Menu Engineering'!$H$6:$H$17,"Puzzle")+COUNTIF('Menu Engineering'!$H$6:$H$17,"Dog"))</f>
        <v>6</v>
      </c>
    </row>
    <row r="17" customFormat="false" ht="19.5" hidden="false" customHeight="true" outlineLevel="0" collapsed="false">
      <c r="B17" s="71" t="s">
        <v>204</v>
      </c>
      <c r="C17" s="72" t="n">
        <f aca="false">'Menu Items'!$K$19</f>
        <v>29101.6966666667</v>
      </c>
    </row>
    <row r="19" customFormat="false" ht="42" hidden="false" customHeight="true" outlineLevel="0" collapsed="false">
      <c r="B19" s="73" t="str">
        <f aca="false">IF(COUNTIF('Menu Items'!$A$7:$A$18,"&lt;&gt;")=0,"Fill in the Menu Items sheet and this line writes itself from your own numbers.","Of the "&amp;COUNTIF('Menu Items'!$A$7:$A$18,"&lt;&gt;")&amp;" items you placed, "&amp;(COUNTIF('Menu Engineering'!$H$6:$H$17,"Plough-horse")+COUNTIF('Menu Engineering'!$H$6:$H$17,"Puzzle")+COUNTIF('Menu Engineering'!$H$6:$H$17,"Dog"))&amp;" are not Stars — they earn too little, sell too slowly, or both. A cafe menu usually runs 30 to 50 items, so this file has seen about "&amp;TEXT(MIN(COUNTIF('Menu Items'!$A$7:$A$18,"&lt;&gt;")/30,1),"0%")&amp;" of yours. The rest is where the Dogs usually hide.")</f>
        <v>Of the 8 items you placed, 6 are not Stars — they earn too little, sell too slowly, or both. A cafe menu usually runs 30 to 50 items, so this file has seen about 27% of yours. The rest is where the Dogs usually hide.</v>
      </c>
      <c r="C19" s="73"/>
      <c r="D19" s="73"/>
      <c r="E19" s="73"/>
    </row>
    <row r="21" customFormat="false" ht="18.75" hidden="false" customHeight="true" outlineLevel="0" collapsed="false">
      <c r="B21" s="15" t="s">
        <v>205</v>
      </c>
      <c r="C21" s="8"/>
      <c r="D21" s="8"/>
      <c r="E21" s="8"/>
    </row>
    <row r="22" customFormat="false" ht="19.5" hidden="false" customHeight="true" outlineLevel="0" collapsed="false">
      <c r="B22" s="74"/>
      <c r="C22" s="74" t="s">
        <v>206</v>
      </c>
      <c r="D22" s="74" t="s">
        <v>207</v>
      </c>
      <c r="E22" s="74"/>
    </row>
    <row r="23" customFormat="false" ht="18.75" hidden="false" customHeight="true" outlineLevel="0" collapsed="false">
      <c r="B23" s="75" t="s">
        <v>208</v>
      </c>
      <c r="C23" s="76" t="s">
        <v>209</v>
      </c>
      <c r="D23" s="77" t="s">
        <v>210</v>
      </c>
    </row>
    <row r="24" customFormat="false" ht="18.75" hidden="false" customHeight="true" outlineLevel="0" collapsed="false">
      <c r="B24" s="75" t="s">
        <v>211</v>
      </c>
      <c r="C24" s="76" t="s">
        <v>212</v>
      </c>
      <c r="D24" s="77" t="s">
        <v>212</v>
      </c>
    </row>
    <row r="25" customFormat="false" ht="18.75" hidden="false" customHeight="true" outlineLevel="0" collapsed="false">
      <c r="B25" s="75" t="s">
        <v>213</v>
      </c>
      <c r="C25" s="76" t="s">
        <v>214</v>
      </c>
      <c r="D25" s="77" t="s">
        <v>212</v>
      </c>
    </row>
    <row r="26" customFormat="false" ht="18.75" hidden="false" customHeight="true" outlineLevel="0" collapsed="false">
      <c r="B26" s="75" t="s">
        <v>215</v>
      </c>
      <c r="C26" s="76" t="s">
        <v>214</v>
      </c>
      <c r="D26" s="77" t="s">
        <v>212</v>
      </c>
    </row>
    <row r="27" customFormat="false" ht="18.75" hidden="false" customHeight="true" outlineLevel="0" collapsed="false">
      <c r="B27" s="75" t="s">
        <v>216</v>
      </c>
      <c r="C27" s="76" t="s">
        <v>214</v>
      </c>
      <c r="D27" s="77" t="s">
        <v>212</v>
      </c>
    </row>
    <row r="28" customFormat="false" ht="18.75" hidden="false" customHeight="true" outlineLevel="0" collapsed="false">
      <c r="B28" s="75" t="s">
        <v>217</v>
      </c>
      <c r="C28" s="76" t="s">
        <v>218</v>
      </c>
      <c r="D28" s="77" t="s">
        <v>219</v>
      </c>
    </row>
    <row r="29" customFormat="false" ht="18.75" hidden="false" customHeight="true" outlineLevel="0" collapsed="false">
      <c r="B29" s="75" t="s">
        <v>220</v>
      </c>
      <c r="C29" s="76" t="s">
        <v>221</v>
      </c>
      <c r="D29" s="77" t="s">
        <v>222</v>
      </c>
    </row>
    <row r="31" customFormat="false" ht="18.75" hidden="false" customHeight="true" outlineLevel="0" collapsed="false">
      <c r="B31" s="15" t="s">
        <v>223</v>
      </c>
      <c r="C31" s="8"/>
      <c r="D31" s="8"/>
      <c r="E31" s="8"/>
    </row>
    <row r="32" customFormat="false" ht="15" hidden="false" customHeight="true" outlineLevel="0" collapsed="false">
      <c r="B32" s="13" t="s">
        <v>224</v>
      </c>
      <c r="C32" s="13"/>
      <c r="D32" s="13"/>
      <c r="E32" s="13"/>
    </row>
    <row r="33" customFormat="false" ht="19.5" hidden="false" customHeight="true" outlineLevel="0" collapsed="false">
      <c r="B33" s="20" t="s">
        <v>225</v>
      </c>
      <c r="C33" s="78" t="n">
        <v>50</v>
      </c>
    </row>
    <row r="35" customFormat="false" ht="18" hidden="false" customHeight="true" outlineLevel="0" collapsed="false">
      <c r="B35" s="71" t="s">
        <v>226</v>
      </c>
      <c r="C35" s="79" t="n">
        <v>4</v>
      </c>
      <c r="D35" s="80" t="n">
        <f aca="false">$C35*$C$33</f>
        <v>200</v>
      </c>
    </row>
    <row r="36" customFormat="false" ht="18" hidden="false" customHeight="true" outlineLevel="0" collapsed="false">
      <c r="B36" s="71" t="s">
        <v>227</v>
      </c>
      <c r="C36" s="79" t="n">
        <v>6</v>
      </c>
      <c r="D36" s="80" t="n">
        <f aca="false">$C36*$C$33</f>
        <v>300</v>
      </c>
    </row>
    <row r="37" customFormat="false" ht="18" hidden="false" customHeight="true" outlineLevel="0" collapsed="false">
      <c r="B37" s="71" t="s">
        <v>228</v>
      </c>
      <c r="C37" s="79" t="n">
        <v>9</v>
      </c>
      <c r="D37" s="80" t="n">
        <f aca="false">$C37*$C$33</f>
        <v>450</v>
      </c>
    </row>
    <row r="38" customFormat="false" ht="18" hidden="false" customHeight="true" outlineLevel="0" collapsed="false">
      <c r="B38" s="71" t="s">
        <v>229</v>
      </c>
      <c r="C38" s="79" t="n">
        <v>5</v>
      </c>
      <c r="D38" s="80" t="n">
        <f aca="false">$C38*$C$33</f>
        <v>250</v>
      </c>
    </row>
    <row r="39" customFormat="false" ht="15.75" hidden="false" customHeight="true" outlineLevel="0" collapsed="false">
      <c r="B39" s="81" t="s">
        <v>179</v>
      </c>
      <c r="C39" s="82" t="n">
        <f aca="false">SUM($C$35:$C$38)</f>
        <v>24</v>
      </c>
      <c r="D39" s="83" t="n">
        <f aca="false">SUM($D$35:$D$38)</f>
        <v>1200</v>
      </c>
    </row>
    <row r="41" customFormat="false" ht="39.75" hidden="false" customHeight="true" outlineLevel="0" collapsed="false">
      <c r="B41" s="73" t="str">
        <f aca="false">"About "&amp;TEXT($C$39,"#,##0")&amp;" hours of your own time, worth "&amp;TEXT($D$39,"$#,##0")&amp;" at the figure above — roughly "&amp;TEXT(IFERROR($D$39/59,0),"#,##0")&amp;" times the price of the finished file. And that is the first build only; every correction afterwards is yours too."</f>
        <v>About 24 hours of your own time, worth $1,200 at the figure above — roughly 20 times the price of the finished file. And that is the first build only; every correction afterwards is yours too.</v>
      </c>
      <c r="C41" s="73"/>
      <c r="D41" s="73"/>
      <c r="E41" s="73"/>
    </row>
    <row r="43" customFormat="false" ht="18.75" hidden="false" customHeight="true" outlineLevel="0" collapsed="false">
      <c r="B43" s="15" t="s">
        <v>230</v>
      </c>
      <c r="C43" s="8"/>
      <c r="D43" s="8"/>
      <c r="E43" s="8"/>
    </row>
    <row r="44" customFormat="false" ht="43.5" hidden="false" customHeight="true" outlineLevel="0" collapsed="false">
      <c r="B44" s="84" t="s">
        <v>231</v>
      </c>
      <c r="C44" s="84"/>
      <c r="D44" s="84"/>
      <c r="E44" s="84"/>
    </row>
    <row r="46" customFormat="false" ht="15.75" hidden="false" customHeight="true" outlineLevel="0" collapsed="false">
      <c r="B46" s="85" t="s">
        <v>220</v>
      </c>
      <c r="C46" s="86" t="s">
        <v>222</v>
      </c>
      <c r="D46" s="19" t="s">
        <v>232</v>
      </c>
    </row>
    <row r="48" customFormat="false" ht="30" hidden="false" customHeight="true" outlineLevel="0" collapsed="false">
      <c r="B48" s="87" t="s">
        <v>233</v>
      </c>
      <c r="C48" s="87"/>
      <c r="D48" s="87"/>
      <c r="E48" s="87"/>
    </row>
    <row r="50" customFormat="false" ht="18.75" hidden="false" customHeight="true" outlineLevel="0" collapsed="false">
      <c r="B50" s="15" t="s">
        <v>234</v>
      </c>
      <c r="C50" s="8"/>
      <c r="D50" s="8"/>
      <c r="E50" s="8"/>
    </row>
    <row r="51" customFormat="false" ht="31.5" hidden="false" customHeight="true" outlineLevel="0" collapsed="false">
      <c r="B51" s="84" t="s">
        <v>235</v>
      </c>
      <c r="C51" s="84"/>
      <c r="D51" s="84"/>
      <c r="E51" s="84"/>
    </row>
    <row r="53" customFormat="false" ht="30" hidden="false" customHeight="true" outlineLevel="0" collapsed="false">
      <c r="B53" s="87" t="s">
        <v>236</v>
      </c>
      <c r="C53" s="87"/>
      <c r="D53" s="87"/>
      <c r="E53" s="87"/>
    </row>
    <row r="55" customFormat="false" ht="27.75" hidden="false" customHeight="true" outlineLevel="0" collapsed="false">
      <c r="B55" s="88" t="s">
        <v>237</v>
      </c>
      <c r="C55" s="88"/>
      <c r="D55" s="88"/>
      <c r="E55" s="88"/>
    </row>
    <row r="57" customFormat="false" ht="15" hidden="false" customHeight="true" outlineLevel="0" collapsed="false">
      <c r="B57" s="13" t="s">
        <v>238</v>
      </c>
      <c r="C57" s="13"/>
      <c r="D57" s="13"/>
      <c r="E57" s="13"/>
    </row>
    <row r="58" customFormat="false" ht="15" hidden="false" customHeight="true" outlineLevel="0" collapsed="false">
      <c r="B58" s="13" t="s">
        <v>50</v>
      </c>
      <c r="C58" s="13"/>
      <c r="D58" s="13"/>
      <c r="E58" s="13"/>
    </row>
  </sheetData>
  <sheetProtection sheet="true" password="b7e1" objects="true" scenarios="true" formatCells="false" formatColumns="false" formatRows="false" sort="false" autoFilter="false"/>
  <mergeCells count="13">
    <mergeCell ref="B9:E9"/>
    <mergeCell ref="B10:E10"/>
    <mergeCell ref="B13:E13"/>
    <mergeCell ref="B19:E19"/>
    <mergeCell ref="B32:E32"/>
    <mergeCell ref="B41:E41"/>
    <mergeCell ref="B44:E44"/>
    <mergeCell ref="B48:E48"/>
    <mergeCell ref="B51:E51"/>
    <mergeCell ref="B53:E53"/>
    <mergeCell ref="B55:E55"/>
    <mergeCell ref="B57:E57"/>
    <mergeCell ref="B58:E58"/>
  </mergeCells>
  <hyperlinks>
    <hyperlink ref="B48" r:id="rId1" display="Click this line to open the Menu Engineering Workbook on our checkout — it opens in your browser."/>
    <hyperlink ref="B53"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Menu Engineering Workbook&amp;R&amp;8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2026-09-17T07:54:56Z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