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ttings" sheetId="2" state="visible" r:id="rId4"/>
    <sheet name="Weekly Summary" sheetId="3" state="visible" r:id="rId5"/>
    <sheet name="Daily Entry" sheetId="4" state="visible" r:id="rId6"/>
    <sheet name="What Comes Next" sheetId="5" state="visible" r:id="rId7"/>
  </sheets>
  <definedNames>
    <definedName function="false" hidden="false" localSheetId="3" name="_xlnm.Print_Area" vbProcedure="false">'Daily Entry'!$A$1:$J$21</definedName>
    <definedName function="false" hidden="false" localSheetId="0" name="_xlnm.Print_Area" vbProcedure="false">'How to Use'!$A$1:$C$49</definedName>
    <definedName function="false" hidden="false" localSheetId="1" name="_xlnm.Print_Area" vbProcedure="false">Settings!$A$1:$F$24</definedName>
    <definedName function="false" hidden="false" localSheetId="2" name="_xlnm.Print_Area" vbProcedure="false">'Weekly Summary'!$A$1:$K$16</definedName>
    <definedName function="false" hidden="false" localSheetId="4" name="_xlnm.Print_Area" vbProcedure="false">'What Comes Next'!$A$1:$E$62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<sst xmlns="http://schemas.openxmlformats.org/spreadsheetml/2006/main" count="192" uniqueCount="168">
  <si>
    <t xml:space="preserve">Operational Reporting - Free Edition</t>
  </si>
  <si>
    <t xml:space="preserve">The numbers behind the counter</t>
  </si>
  <si>
    <t xml:space="preserve">WHAT THIS FILE IS FOR</t>
  </si>
  <si>
    <t xml:space="preserve">Free. A fortnight of trading on one page. Enter three numbers a day - gross sales, transactions, labour hours - and get net sales, average transaction value and sales per labour hour, rolled into two weekly lines with your own targets flagged green or red. Two minutes a day. Two weeks is the smallest span that can compare a week with the week before it, which is the only comparison that matters.</t>
  </si>
  <si>
    <t xml:space="preserve">WHO IT IS FOR</t>
  </si>
  <si>
    <t xml:space="preserve">Owner</t>
  </si>
  <si>
    <t xml:space="preserve">Tells you whether a busy week was also a good week.</t>
  </si>
  <si>
    <t xml:space="preserve">General manager</t>
  </si>
  <si>
    <t xml:space="preserve">The Monday meeting on one page, without building a report.</t>
  </si>
  <si>
    <t xml:space="preserve">Supervisor / shift lead</t>
  </si>
  <si>
    <t xml:space="preserve">Three numbers at close. No spreadsheet skill required.</t>
  </si>
  <si>
    <t xml:space="preserve">THE SHEETS IN THIS FILE</t>
  </si>
  <si>
    <t xml:space="preserve">Settings</t>
  </si>
  <si>
    <t xml:space="preserve">Outlet, country, the first Monday of your log, and three targets.</t>
  </si>
  <si>
    <t xml:space="preserve">Daily Entry</t>
  </si>
  <si>
    <t xml:space="preserve">Fourteen days. Four yellow columns, everything else calculated. The first week is a worked example; the second is blank.</t>
  </si>
  <si>
    <t xml:space="preserve">Weekly Summary</t>
  </si>
  <si>
    <t xml:space="preserve">Two weeks, built automatically. Sales against target and against last week, plus the two productivity numbers.</t>
  </si>
  <si>
    <t xml:space="preserve">What Comes Next</t>
  </si>
  <si>
    <t xml:space="preserve">Your own fortnight read back to you, and what the full pack does that this file cannot.</t>
  </si>
  <si>
    <t xml:space="preserve">HOW TO USE IT</t>
  </si>
  <si>
    <t xml:space="preserve">1.  Settings: name, country, the first Monday you are logging from, and your three targets.</t>
  </si>
  <si>
    <t xml:space="preserve">2.  Daily Entry: at close, enter gross sales, transactions and labour hours. Two minutes.</t>
  </si>
  <si>
    <t xml:space="preserve">3.  Weekly Summary: read it on a Monday. Nothing to type.</t>
  </si>
  <si>
    <t xml:space="preserve">4.  Week two against week one is the first real reading. Everything after that is a trend, and a trend needs the full pack.</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</si>
  <si>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</si>
  <si>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</si>
  <si>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</si>
  <si>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</si>
  <si>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WHEN YOU HAVE OUTGROWN THIS SHEET</t>
  </si>
  <si>
    <t xml:space="preserve">This covers one fortnight and two of the twelve numbers. The Operational Reporting Pack keeps a full year, splits sales by dine-in, takeaway and delivery, runs an hour-by-hour labour curve, reconciles cash daily, tracks stock and real cost of sales, logs wastage by reason, watches supplier prices, and puts a monthly P&amp;L against budget on one dashboard. backofhouseco.com</t>
  </si>
  <si>
    <t xml:space="preserve">WHAT THIS FILE ASSUMES</t>
  </si>
  <si>
    <t xml:space="preserve">-  Gross sales are as your point-of-sale reports them, including VAT. The sheet strips VAT at your country's rate.</t>
  </si>
  <si>
    <t xml:space="preserve">-  Labour hours means every paid hour, including management. Rostered hours if you do not have actual.</t>
  </si>
  <si>
    <t xml:space="preserve">-  Weeks run in blocks of seven days from your first Monday, not from the calendar week.</t>
  </si>
  <si>
    <t xml:space="preserve">WHAT IT DOES NOT DO</t>
  </si>
  <si>
    <t xml:space="preserve">This sheet records sales and labour for a fortnight. It does not touch cost of sales, stock, wastage, cash reconciliation or your P&amp;L, so it cannot tell you whether the business made money - only whether it was productive, and only for two weeks.</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</si>
  <si>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</si>
  <si>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</si>
  <si>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</si>
  <si>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</si>
  <si>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</si>
  <si>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</si>
  <si>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Four lines. Then start logging.</t>
  </si>
  <si>
    <t xml:space="preserve">Country rules - used by the dropdown. Do not edit.</t>
  </si>
  <si>
    <t xml:space="preserve">THE OUTLET</t>
  </si>
  <si>
    <t xml:space="preserve">United Arab Emirates</t>
  </si>
  <si>
    <t xml:space="preserve">AED</t>
  </si>
  <si>
    <t xml:space="preserve">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t>
  </si>
  <si>
    <t xml:space="preserve">Outlet name</t>
  </si>
  <si>
    <t xml:space="preserve">Your outlet</t>
  </si>
  <si>
    <t xml:space="preserve">Saudi Arabia</t>
  </si>
  <si>
    <t xml:space="preserve">SAR</t>
  </si>
  <si>
    <t xml:space="preserve">The 2.5% shown is zakat, which is charged on net worth rather than on profit - so treat the tax line here as an estimate, not a calculation. A non-Saudi ownership share is taxed at 20% of profit instead. End-of-service is half a month a year for the first five years. The 2% is the expatriate GOSI rate; Saudisation quotas mean part of your roster will carry the national rate of 11.75% and rising.</t>
  </si>
  <si>
    <t xml:space="preserve">First Monday of your log</t>
  </si>
  <si>
    <t xml:space="preserve">The sheet counts weeks from here</t>
  </si>
  <si>
    <t xml:space="preserve">Qatar</t>
  </si>
  <si>
    <t xml:space="preserve">QAR</t>
  </si>
  <si>
    <t xml:space="preserve">No corporate tax while the company is wholly owned by Qatari or GCC nationals resident in Qatar. Any foreign ownership share is taxed at 10%. End-of-service is 21 days of basic wage a year. Expatriate staff carry no employer social security; Qataris carry 14%.</t>
  </si>
  <si>
    <t xml:space="preserve">Kuwait</t>
  </si>
  <si>
    <t xml:space="preserve">KWD</t>
  </si>
  <si>
    <t xml:space="preserve">No corporate tax while the company is wholly Kuwaiti or GCC owned. A foreign ownership share is taxed at 15%. End-of-service is 15 days of basic wage a year for the first five years. Expatriate staff carry no employer social security; Kuwaitis carry 11.5%.</t>
  </si>
  <si>
    <t xml:space="preserve">WHERE YOU TRADE</t>
  </si>
  <si>
    <t xml:space="preserve">Bahrain</t>
  </si>
  <si>
    <t xml:space="preserve">BHD</t>
  </si>
  <si>
    <t xml:space="preserve">No corporate tax outside oil and gas. End-of-service for expatriate staff changed in March 2024 - it is now a monthly contribution to the SIO of 4.2% for the first three years and 8.4% after that, and it is charged on the CONTRACTUAL wage, not on basic alone, so raise the figure if your basic is only part of the package. Employer work-injury cover is 3% on top. Bahraini nationals carry 18% and no gratuity.</t>
  </si>
  <si>
    <t xml:space="preserve">Country you trade in</t>
  </si>
  <si>
    <t xml:space="preserve">Ten markets. Everything below fills in from your choice</t>
  </si>
  <si>
    <t xml:space="preserve">Oman</t>
  </si>
  <si>
    <t xml:space="preserve">OMR</t>
  </si>
  <si>
    <t xml:space="preserve">Corporate tax is 15% from the first rial. End-of-service is one month of basic wage for every year of service. The 14.5% shown is the OMANI social security rate - the position for expatriate staff is unsettled and may be nil or close to it, so confirm it with the Social Protection Fund before you budget on this line. It is the one number in this table we would not build a lease decision on.</t>
  </si>
  <si>
    <t xml:space="preserve">Egypt</t>
  </si>
  <si>
    <t xml:space="preserve">EGP</t>
  </si>
  <si>
    <t xml:space="preserve">Corporate tax is 22.5%. There is no end-of-service gratuity - the funded social insurance pension replaces it, which is why the employer rate is 18.75% rather than the Gulf's nil. A turnover-based regime for businesses under EGP 20 million turnover can cost far less than 22.5% - ask about it before you file.</t>
  </si>
  <si>
    <t xml:space="preserve">From your country</t>
  </si>
  <si>
    <t xml:space="preserve">Your own figure</t>
  </si>
  <si>
    <t xml:space="preserve">Used in the model</t>
  </si>
  <si>
    <t xml:space="preserve">Jordan</t>
  </si>
  <si>
    <t xml:space="preserve">JOD</t>
  </si>
  <si>
    <t xml:space="preserve">Corporate tax is 20% plus a 1% national contribution, so 21% all in. There is no end-of-service gratuity for staff covered by social security, which is now most of them. Employer social security is 14.25%.</t>
  </si>
  <si>
    <t xml:space="preserve">Currency</t>
  </si>
  <si>
    <t xml:space="preserve">A label, not a conversion - the file does no exchange-rate maths</t>
  </si>
  <si>
    <t xml:space="preserve">United Kingdom</t>
  </si>
  <si>
    <t xml:space="preserve">GBP</t>
  </si>
  <si>
    <t xml:space="preserve">Corporate tax is 19% on profit up to GBP 50,000, tapering to 25% above GBP 250,000. There is no end-of-service accrual - statutory redundancy pay is an event, not a monthly cost. Employer National Insurance is 15% above GBP 5,000 a year per head, and the Employment Allowance may cover a large part of that for a single site. Workplace pension of at least 3% is on top and is not in this figure.</t>
  </si>
  <si>
    <t xml:space="preserve">VAT on restaurant sales</t>
  </si>
  <si>
    <t xml:space="preserve">Qatar and Kuwait charge none. The USA has sales tax, not VAT - it varies by state</t>
  </si>
  <si>
    <t xml:space="preserve">United States</t>
  </si>
  <si>
    <t xml:space="preserve">USD</t>
  </si>
  <si>
    <t xml:space="preserve">Federal corporate tax is 21%, plus state corporate tax of roughly 1% to 10% depending where you trade - add it to the rate. There is no end-of-service accrual. The 7.65% is the employer share of FICA only; federal and state unemployment insurance is extra and runs high in restaurants because of staff turnover, so budget more than this.</t>
  </si>
  <si>
    <t xml:space="preserve">Other - not listed</t>
  </si>
  <si>
    <t xml:space="preserve">Your market is not in the list. Put your own figures in the middle column and they will be used instead. Your accountant can give you all four in five minutes.</t>
  </si>
  <si>
    <t xml:space="preserve">YOUR TARGETS</t>
  </si>
  <si>
    <t xml:space="preserve">Target sales per labour hour</t>
  </si>
  <si>
    <t xml:space="preserve">Set from your own best weeks</t>
  </si>
  <si>
    <t xml:space="preserve">Target average transaction value</t>
  </si>
  <si>
    <t xml:space="preserve">Target net sales per week</t>
  </si>
  <si>
    <t xml:space="preserve">Gross sales are entered as your point-of-sale reports them, including VAT. This sheet strips VAT out at your country rate, because every percentage in this industry is calculated on net sales and comparing a gross figure to a net one flatters you by the VAT rate.</t>
  </si>
  <si>
    <t xml:space="preserve">This is the page for a Monday meeting. Read the last three columns first - they tell you whether the week was well run, which is a different question from whether it was busy.</t>
  </si>
  <si>
    <t xml:space="preserve">Week</t>
  </si>
  <si>
    <t xml:space="preserve">Commencing</t>
  </si>
  <si>
    <t xml:space="preserve">Days traded</t>
  </si>
  <si>
    <t xml:space="preserve">Net sales</t>
  </si>
  <si>
    <t xml:space="preserve">vs target</t>
  </si>
  <si>
    <t xml:space="preserve">vs last week</t>
  </si>
  <si>
    <t xml:space="preserve">Transactions</t>
  </si>
  <si>
    <t xml:space="preserve">Transactions / day</t>
  </si>
  <si>
    <t xml:space="preserve">Avg transaction</t>
  </si>
  <si>
    <t xml:space="preserve">Labour hours</t>
  </si>
  <si>
    <t xml:space="preserve">Sales / labour hour</t>
  </si>
  <si>
    <t xml:space="preserve">FORTNIGHT</t>
  </si>
  <si>
    <t xml:space="preserve">Green means at or above the target you set on the Settings tab. Red means below it. Both targets are yours - the sheet does not pretend to know what a good average transaction value looks like in your concept.</t>
  </si>
  <si>
    <t xml:space="preserve">Sales per labour hour is the number to watch. It is the cleanest productivity measure in the industry and the fairest way to compare two weeks, because it does not care whether the week was busy.</t>
  </si>
  <si>
    <t xml:space="preserve">A week where sales rose and sales per labour hour fell is a week you bought growth with hours. That is a choice, but it should be a deliberate one.</t>
  </si>
  <si>
    <t xml:space="preserve">The four yellow columns are all you enter. Everything to the right calculates. A day you were closed: leave it blank and it drops out of every average.</t>
  </si>
  <si>
    <t xml:space="preserve">The first seven days are filled in as a worked example so you can see the sheet running. The second week is blank - that is yours. Type straight over the example when you start.</t>
  </si>
  <si>
    <t xml:space="preserve">Date</t>
  </si>
  <si>
    <t xml:space="preserve">Day</t>
  </si>
  <si>
    <t xml:space="preserve">Wk</t>
  </si>
  <si>
    <t xml:space="preserve">Gross sales inc VAT</t>
  </si>
  <si>
    <t xml:space="preserve">Notes</t>
  </si>
  <si>
    <t xml:space="preserve">What comes next</t>
  </si>
  <si>
    <t xml:space="preserve">Operational Reporting — Free Edition</t>
  </si>
  <si>
    <t xml:space="preserve">WHAT THIS FILE FOUND IN YOUR NUMBERS</t>
  </si>
  <si>
    <t xml:space="preserve">Calculated from what you typed. Not an estimate, not an average.</t>
  </si>
  <si>
    <t xml:space="preserve">Days logged</t>
  </si>
  <si>
    <t xml:space="preserve">Net sales across those days</t>
  </si>
  <si>
    <t xml:space="preserve">Sales per labour hour</t>
  </si>
  <si>
    <t xml:space="preserve">Days below your labour target</t>
  </si>
  <si>
    <t xml:space="preserve">FREE EDITION AND FULL VERSION, SIDE BY SIDE</t>
  </si>
  <si>
    <t xml:space="preserve">Free edition</t>
  </si>
  <si>
    <t xml:space="preserve">Full version</t>
  </si>
  <si>
    <t xml:space="preserve">Days of trading</t>
  </si>
  <si>
    <t xml:space="preserve">14</t>
  </si>
  <si>
    <t xml:space="preserve">365</t>
  </si>
  <si>
    <t xml:space="preserve">Weekly lines</t>
  </si>
  <si>
    <t xml:space="preserve">2</t>
  </si>
  <si>
    <t xml:space="preserve">53</t>
  </si>
  <si>
    <t xml:space="preserve">Monthly lines</t>
  </si>
  <si>
    <t xml:space="preserve">—</t>
  </si>
  <si>
    <t xml:space="preserve">12</t>
  </si>
  <si>
    <t xml:space="preserve">Sales split dine-in, takeaway, delivery</t>
  </si>
  <si>
    <t xml:space="preserve">Yes</t>
  </si>
  <si>
    <t xml:space="preserve">Hour-by-hour labour against the sales curve</t>
  </si>
  <si>
    <t xml:space="preserve">Daily cash reconciliation</t>
  </si>
  <si>
    <t xml:space="preserve">Stock counts and real cost of sales</t>
  </si>
  <si>
    <t xml:space="preserve">Wastage log and supplier price tracking</t>
  </si>
  <si>
    <t xml:space="preserve">Monthly profit and loss against budget</t>
  </si>
  <si>
    <t xml:space="preserve">Price</t>
  </si>
  <si>
    <t xml:space="preserve">Free</t>
  </si>
  <si>
    <t xml:space="preserve">USD 79</t>
  </si>
  <si>
    <t xml:space="preserve">OR BUILD IT YOURSELF</t>
  </si>
  <si>
    <t xml:space="preserve">Put your own hourly value in the yellow cell. The rest is arithmetic.</t>
  </si>
  <si>
    <t xml:space="preserve">What an hour of your time is worth  (USD)</t>
  </si>
  <si>
    <t xml:space="preserve">Daily log with VAT stripped and blank days dropping out of averages</t>
  </si>
  <si>
    <t xml:space="preserve">53 weekly and 12 monthly lines built without a single re-entry</t>
  </si>
  <si>
    <t xml:space="preserve">Hour-by-hour labour curve, cash reconciliation and stock counts</t>
  </si>
  <si>
    <t xml:space="preserve">Wastage, supplier prices, the P&amp;L against budget, then test a full year</t>
  </si>
  <si>
    <t xml:space="preserve">TOTAL</t>
  </si>
  <si>
    <t xml:space="preserve">THE FULL VERSION</t>
  </si>
  <si>
    <t xml:space="preserve">A full year instead of a fortnight. Sales split by channel, an hour-by-hour labour curve, daily cash reconciliation, stock counts and a real cost of sales, wastage by reason, supplier price tracking, and a monthly profit and loss against budget.</t>
  </si>
  <si>
    <t xml:space="preserve">One payment, yours to keep</t>
  </si>
  <si>
    <t xml:space="preserve">Click this line to open the Operational Reporting Pack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</si>
  <si>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</si>
  <si>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</si>
  <si>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</si>
  <si>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Two weeks of logging is a habit test, and it is the honest one to run first.</t>
  </si>
  <si>
    <t xml:space="preserve">Back of House — the numbers behind the counter</t>
  </si>
</sst>
</file>

<file path=xl/styles.xml><?xml version="1.0" encoding="utf-8"?>
<styleSheet xmlns="http://schemas.openxmlformats.org/spreadsheetml/2006/main">
  <numFmts count="7">
    <numFmt numFmtId="164" formatCode="General"/>
    <numFmt numFmtId="165" formatCode="@"/>
    <numFmt numFmtId="166" formatCode="dd\ mmm\ yyyy"/>
    <numFmt numFmtId="167" formatCode="0.0%"/>
    <numFmt numFmtId="168" formatCode="#,##0.00;\(#,##0.00\);\-"/>
    <numFmt numFmtId="169" formatCode="#,##0;\(#,##0\);\-"/>
    <numFmt numFmtId="170" formatCode="#,##0&quot; hours&quot;"/>
  </numFmts>
  <fonts count="28">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15"/>
      <color rgb="FF1C2B33"/>
      <name val="Arial"/>
      <family val="0"/>
      <charset val="1"/>
    </font>
    <font>
      <sz val="8"/>
      <color rgb="FF9A9186"/>
      <name val="Arial"/>
      <family val="0"/>
      <charset val="1"/>
    </font>
    <font>
      <sz val="10"/>
      <color rgb="FF0000FF"/>
      <name val="Arial"/>
      <family val="0"/>
      <charset val="1"/>
    </font>
    <font>
      <b val="true"/>
      <sz val="11"/>
      <color rgb="FF0000FF"/>
      <name val="Arial"/>
      <family val="0"/>
      <charset val="1"/>
    </font>
    <font>
      <b val="true"/>
      <sz val="9"/>
      <color rgb="FFFFFFFF"/>
      <name val="Arial"/>
      <family val="0"/>
      <charset val="1"/>
    </font>
    <font>
      <sz val="10"/>
      <color rgb="FF008000"/>
      <name val="Arial"/>
      <family val="0"/>
      <charset val="1"/>
    </font>
    <font>
      <i val="true"/>
      <sz val="9"/>
      <color rgb="FF1C2B33"/>
      <name val="Arial"/>
      <family val="0"/>
      <charset val="1"/>
    </font>
    <font>
      <sz val="10"/>
      <color rgb="FF6B6157"/>
      <name val="Arial"/>
      <family val="0"/>
      <charset val="1"/>
    </font>
    <font>
      <b val="true"/>
      <sz val="12"/>
      <color rgb="FF1C2B33"/>
      <name val="Arial"/>
      <family val="0"/>
      <charset val="1"/>
    </font>
    <font>
      <b val="true"/>
      <sz val="11"/>
      <color rgb="FF9A7B4F"/>
      <name val="Arial"/>
      <family val="0"/>
      <charset val="1"/>
    </font>
    <font>
      <b val="true"/>
      <sz val="12"/>
      <color rgb="FF0000F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6">
    <fill>
      <patternFill patternType="none"/>
    </fill>
    <fill>
      <patternFill patternType="gray125"/>
    </fill>
    <fill>
      <patternFill patternType="solid">
        <fgColor rgb="FFEDE7DD"/>
        <bgColor rgb="FFFBE4E4"/>
      </patternFill>
    </fill>
    <fill>
      <patternFill patternType="solid">
        <fgColor rgb="FFFFF4CC"/>
        <bgColor rgb="FFF5F1EA"/>
      </patternFill>
    </fill>
    <fill>
      <patternFill patternType="solid">
        <fgColor rgb="FF1C2B33"/>
        <bgColor rgb="FF333300"/>
      </patternFill>
    </fill>
    <fill>
      <patternFill patternType="solid">
        <fgColor rgb="FFF5F1EA"/>
        <bgColor rgb="FFEDE7DD"/>
      </patternFill>
    </fill>
  </fills>
  <borders count="7">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right/>
      <top/>
      <bottom style="thin">
        <color rgb="FFC9C0B4"/>
      </bottom>
      <diagonal/>
    </border>
    <border diagonalUp="false" diagonalDown="false">
      <left style="thin">
        <color rgb="FFC9C0B4"/>
      </left>
      <right style="thin">
        <color rgb="FFC9C0B4"/>
      </right>
      <top/>
      <bottom style="thin">
        <color rgb="FFC9C0B4"/>
      </bottom>
      <diagonal/>
    </border>
    <border diagonalUp="false" diagonalDown="false">
      <left/>
      <right/>
      <top style="thin">
        <color rgb="FFC9C0B4"/>
      </top>
      <bottom style="thin">
        <color rgb="FF1C2B33"/>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15" fillId="3" borderId="2" xfId="0" applyFont="true" applyBorder="true" applyAlignment="true" applyProtection="true">
      <alignment horizontal="general" vertical="bottom" textRotation="0" wrapText="false" indent="0" shrinkToFit="false"/>
      <protection locked="false" hidden="false"/>
    </xf>
    <xf numFmtId="166" fontId="15" fillId="3" borderId="2" xfId="0" applyFont="true" applyBorder="true" applyAlignment="true" applyProtection="true">
      <alignment horizontal="general" vertical="bottom" textRotation="0" wrapText="false" indent="0" shrinkToFit="false"/>
      <protection locked="fals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16" fillId="3" borderId="2" xfId="0" applyFont="true" applyBorder="true" applyAlignment="true" applyProtection="true">
      <alignment horizontal="general" vertical="bottom" textRotation="0" wrapText="false" indent="0" shrinkToFit="false"/>
      <protection locked="false" hidden="false"/>
    </xf>
    <xf numFmtId="164" fontId="0" fillId="4" borderId="1" xfId="0" applyFont="false" applyBorder="true" applyAlignment="tru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true" applyProtection="false">
      <alignment horizontal="general" vertical="bottom" textRotation="0" wrapText="false" indent="0" shrinkToFit="false"/>
      <protection locked="true" hidden="false"/>
    </xf>
    <xf numFmtId="165" fontId="18" fillId="0" borderId="3" xfId="0" applyFont="true" applyBorder="true" applyAlignment="true" applyProtection="true">
      <alignment horizontal="general" vertical="bottom" textRotation="0" wrapText="false" indent="0" shrinkToFit="false"/>
      <protection locked="true" hidden="true"/>
    </xf>
    <xf numFmtId="165" fontId="15" fillId="3" borderId="3" xfId="0" applyFont="true" applyBorder="true" applyAlignment="true" applyProtection="true">
      <alignment horizontal="general" vertical="bottom" textRotation="0" wrapText="false" indent="0" shrinkToFit="false"/>
      <protection locked="false" hidden="false"/>
    </xf>
    <xf numFmtId="165" fontId="6" fillId="0" borderId="3" xfId="0" applyFont="true" applyBorder="true" applyAlignment="true" applyProtection="true">
      <alignment horizontal="center" vertical="bottom" textRotation="0" wrapText="false" indent="0" shrinkToFit="false"/>
      <protection locked="true" hidden="true"/>
    </xf>
    <xf numFmtId="167" fontId="18" fillId="0" borderId="3" xfId="0" applyFont="true" applyBorder="true" applyAlignment="true" applyProtection="true">
      <alignment horizontal="general" vertical="bottom" textRotation="0" wrapText="false" indent="0" shrinkToFit="false"/>
      <protection locked="true" hidden="true"/>
    </xf>
    <xf numFmtId="167" fontId="15" fillId="3" borderId="3" xfId="0" applyFont="true" applyBorder="true" applyAlignment="true" applyProtection="true">
      <alignment horizontal="general" vertical="bottom" textRotation="0" wrapText="false" indent="0" shrinkToFit="false"/>
      <protection locked="false" hidden="false"/>
    </xf>
    <xf numFmtId="167" fontId="6" fillId="0" borderId="3" xfId="0" applyFont="true" applyBorder="true" applyAlignment="true" applyProtection="true">
      <alignment horizontal="center" vertical="bottom" textRotation="0" wrapText="false" indent="0" shrinkToFit="false"/>
      <protection locked="true" hidden="true"/>
    </xf>
    <xf numFmtId="164" fontId="19" fillId="0" borderId="0" xfId="0" applyFont="true" applyBorder="true" applyAlignment="true" applyProtection="true">
      <alignment horizontal="general" vertical="top" textRotation="0" wrapText="true" indent="0" shrinkToFit="false"/>
      <protection locked="true" hidden="true"/>
    </xf>
    <xf numFmtId="168" fontId="15" fillId="3" borderId="2" xfId="0" applyFont="true" applyBorder="true" applyAlignment="true" applyProtection="true">
      <alignment horizontal="general" vertical="bottom" textRotation="0" wrapText="false" indent="0" shrinkToFit="false"/>
      <protection locked="false" hidden="false"/>
    </xf>
    <xf numFmtId="169" fontId="15" fillId="3" borderId="2" xfId="0" applyFont="true" applyBorder="true" applyAlignment="true" applyProtection="true">
      <alignment horizontal="general" vertical="bottom" textRotation="0" wrapText="false" indent="0" shrinkToFit="false"/>
      <protection locked="fals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true"/>
    </xf>
    <xf numFmtId="164" fontId="17" fillId="4" borderId="1" xfId="0" applyFont="true" applyBorder="true" applyAlignment="true" applyProtection="false">
      <alignment horizontal="left" vertical="bottom" textRotation="0" wrapText="true" indent="0" shrinkToFit="false"/>
      <protection locked="true" hidden="false"/>
    </xf>
    <xf numFmtId="164" fontId="17" fillId="4" borderId="1" xfId="0" applyFont="true" applyBorder="true" applyAlignment="true" applyProtection="false">
      <alignment horizontal="center" vertical="bottom" textRotation="0" wrapText="true" indent="0" shrinkToFit="false"/>
      <protection locked="true" hidden="false"/>
    </xf>
    <xf numFmtId="169" fontId="20" fillId="0" borderId="4" xfId="0" applyFont="true" applyBorder="true" applyAlignment="true" applyProtection="true">
      <alignment horizontal="general" vertical="bottom" textRotation="0" wrapText="false" indent="0" shrinkToFit="false"/>
      <protection locked="true" hidden="true"/>
    </xf>
    <xf numFmtId="166" fontId="20" fillId="0" borderId="4" xfId="0" applyFont="true" applyBorder="true" applyAlignment="true" applyProtection="true">
      <alignment horizontal="general" vertical="bottom" textRotation="0" wrapText="false" indent="0" shrinkToFit="false"/>
      <protection locked="true" hidden="true"/>
    </xf>
    <xf numFmtId="169" fontId="7" fillId="0" borderId="4" xfId="0" applyFont="true" applyBorder="true" applyAlignment="true" applyProtection="true">
      <alignment horizontal="general" vertical="bottom" textRotation="0" wrapText="false" indent="0" shrinkToFit="false"/>
      <protection locked="true" hidden="true"/>
    </xf>
    <xf numFmtId="169" fontId="6" fillId="0" borderId="4" xfId="0" applyFont="true" applyBorder="true" applyAlignment="true" applyProtection="true">
      <alignment horizontal="general" vertical="bottom" textRotation="0" wrapText="false" indent="0" shrinkToFit="false"/>
      <protection locked="true" hidden="true"/>
    </xf>
    <xf numFmtId="167" fontId="7" fillId="0" borderId="4" xfId="0" applyFont="true" applyBorder="true" applyAlignment="true" applyProtection="true">
      <alignment horizontal="general" vertical="bottom" textRotation="0" wrapText="false" indent="0" shrinkToFit="false"/>
      <protection locked="true" hidden="true"/>
    </xf>
    <xf numFmtId="168" fontId="6" fillId="0" borderId="4" xfId="0" applyFont="true" applyBorder="true" applyAlignment="true" applyProtection="true">
      <alignment horizontal="general" vertical="bottom" textRotation="0" wrapText="false" indent="0" shrinkToFit="false"/>
      <protection locked="true" hidden="true"/>
    </xf>
    <xf numFmtId="164" fontId="6" fillId="0" borderId="5" xfId="0" applyFont="true" applyBorder="true" applyAlignment="true" applyProtection="false">
      <alignment horizontal="general" vertical="bottom" textRotation="0" wrapText="fals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9" fontId="6" fillId="5" borderId="5" xfId="0" applyFont="true" applyBorder="true" applyAlignment="true" applyProtection="true">
      <alignment horizontal="general" vertical="bottom" textRotation="0" wrapText="false" indent="0" shrinkToFit="false"/>
      <protection locked="true" hidden="true"/>
    </xf>
    <xf numFmtId="168" fontId="6" fillId="5" borderId="5" xfId="0" applyFont="true" applyBorder="true" applyAlignment="true" applyProtection="true">
      <alignment horizontal="general" vertical="bottom" textRotation="0" wrapText="false" indent="0" shrinkToFit="false"/>
      <protection locked="true" hidden="true"/>
    </xf>
    <xf numFmtId="165" fontId="20" fillId="0" borderId="4" xfId="0" applyFont="true" applyBorder="true" applyAlignment="true" applyProtection="true">
      <alignment horizontal="general" vertical="bottom" textRotation="0" wrapText="false" indent="0" shrinkToFit="false"/>
      <protection locked="true" hidden="true"/>
    </xf>
    <xf numFmtId="169" fontId="15" fillId="3" borderId="4" xfId="0" applyFont="true" applyBorder="true" applyAlignment="true" applyProtection="true">
      <alignment horizontal="general" vertical="bottom" textRotation="0" wrapText="false" indent="0" shrinkToFit="false"/>
      <protection locked="false" hidden="false"/>
    </xf>
    <xf numFmtId="168" fontId="7" fillId="0" borderId="4" xfId="0" applyFont="true" applyBorder="true" applyAlignment="true" applyProtection="true">
      <alignment horizontal="general" vertical="bottom" textRotation="0" wrapText="false" indent="0" shrinkToFit="false"/>
      <protection locked="true" hidden="true"/>
    </xf>
    <xf numFmtId="165" fontId="15" fillId="3" borderId="4" xfId="0" applyFont="true" applyBorder="true" applyAlignment="true" applyProtection="true">
      <alignment horizontal="general" vertical="bottom" textRotation="0" wrapText="false" indent="0" shrinkToFit="false"/>
      <protection locked="false" hidden="false"/>
    </xf>
    <xf numFmtId="164" fontId="7" fillId="0" borderId="3" xfId="0" applyFont="true" applyBorder="true" applyAlignment="true" applyProtection="false">
      <alignment horizontal="general" vertical="center" textRotation="0" wrapText="true" indent="0" shrinkToFit="false"/>
      <protection locked="true" hidden="false"/>
    </xf>
    <xf numFmtId="169" fontId="21" fillId="0" borderId="3" xfId="0" applyFont="true" applyBorder="true" applyAlignment="true" applyProtection="true">
      <alignment horizontal="center" vertical="center" textRotation="0" wrapText="false" indent="0" shrinkToFit="false"/>
      <protection locked="true" hidden="true"/>
    </xf>
    <xf numFmtId="168" fontId="21" fillId="0" borderId="3" xfId="0" applyFont="true" applyBorder="true" applyAlignment="true" applyProtection="true">
      <alignment horizontal="center" vertical="center" textRotation="0" wrapText="false" indent="0" shrinkToFit="false"/>
      <protection locked="true" hidden="true"/>
    </xf>
    <xf numFmtId="164" fontId="22" fillId="0" borderId="0" xfId="0" applyFont="true" applyBorder="true" applyAlignment="true" applyProtection="true">
      <alignment horizontal="general" vertical="top" textRotation="0" wrapText="true" indent="0" shrinkToFit="false"/>
      <protection locked="true" hidden="true"/>
    </xf>
    <xf numFmtId="164" fontId="17" fillId="4" borderId="0" xfId="0" applyFont="true" applyBorder="fals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general" vertical="center" textRotation="0" wrapText="true" indent="0" shrinkToFit="false"/>
      <protection locked="true" hidden="false"/>
    </xf>
    <xf numFmtId="164" fontId="20" fillId="0" borderId="4"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9" fontId="23" fillId="3" borderId="2" xfId="0" applyFont="true" applyBorder="true" applyAlignment="true" applyProtection="true">
      <alignment horizontal="center" vertical="bottom" textRotation="0" wrapText="false" indent="0" shrinkToFit="false"/>
      <protection locked="false" hidden="false"/>
    </xf>
    <xf numFmtId="169" fontId="7" fillId="0" borderId="3" xfId="0" applyFont="true" applyBorder="true" applyAlignment="true" applyProtection="false">
      <alignment horizontal="center" vertical="bottom" textRotation="0" wrapText="false" indent="0" shrinkToFit="false"/>
      <protection locked="true" hidden="false"/>
    </xf>
    <xf numFmtId="169" fontId="7" fillId="0" borderId="3" xfId="0" applyFont="true" applyBorder="true" applyAlignment="true" applyProtection="true">
      <alignment horizontal="center" vertical="bottom" textRotation="0" wrapText="false" indent="0" shrinkToFit="false"/>
      <protection locked="true" hidden="true"/>
    </xf>
    <xf numFmtId="164" fontId="9" fillId="5" borderId="6" xfId="0" applyFont="true" applyBorder="true" applyAlignment="true" applyProtection="false">
      <alignment horizontal="general" vertical="bottom" textRotation="0" wrapText="false" indent="0" shrinkToFit="false"/>
      <protection locked="true" hidden="false"/>
    </xf>
    <xf numFmtId="170" fontId="21" fillId="5" borderId="6" xfId="0" applyFont="true" applyBorder="true" applyAlignment="true" applyProtection="true">
      <alignment horizontal="center" vertical="bottom" textRotation="0" wrapText="false" indent="0" shrinkToFit="false"/>
      <protection locked="true" hidden="true"/>
    </xf>
    <xf numFmtId="169" fontId="24" fillId="5" borderId="6" xfId="0" applyFont="true" applyBorder="true" applyAlignment="true" applyProtection="true">
      <alignment horizontal="center" vertical="bottom" textRotation="0" wrapText="fals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25" fillId="0" borderId="0" xfId="0" applyFont="true" applyBorder="false" applyAlignment="true" applyProtection="false">
      <alignment horizontal="center" vertical="bottom" textRotation="0" wrapText="false" indent="0" shrinkToFit="false"/>
      <protection locked="true" hidden="false"/>
    </xf>
    <xf numFmtId="164" fontId="26" fillId="0" borderId="0" xfId="0" applyFont="true" applyBorder="true" applyAlignment="true" applyProtection="false">
      <alignment horizontal="general" vertical="center" textRotation="0" wrapText="true" indent="0" shrinkToFit="false"/>
      <protection locked="true" hidden="false"/>
    </xf>
    <xf numFmtId="164" fontId="2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A03030"/>
        <sz val="10"/>
      </font>
      <fill>
        <patternFill>
          <bgColor rgb="FFFBE4E4"/>
        </patternFill>
      </fill>
    </dxf>
    <dxf>
      <font>
        <name val="Arial"/>
        <charset val="1"/>
        <family val="0"/>
        <color rgb="FF1E6B2E"/>
        <sz val="10"/>
      </font>
      <fill>
        <patternFill>
          <bgColor rgb="FFDCEDDC"/>
        </patternFill>
      </fill>
    </dxf>
    <dxf>
      <font>
        <name val="Arial"/>
        <charset val="1"/>
        <family val="0"/>
        <color rgb="FFA03030"/>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6B2E"/>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EDE7DD"/>
      <rgbColor rgb="FFDCEDDC"/>
      <rgbColor rgb="FFFFFF99"/>
      <rgbColor rgb="FF99CCFF"/>
      <rgbColor rgb="FFFF99CC"/>
      <rgbColor rgb="FFCC99FF"/>
      <rgbColor rgb="FFFBE4E4"/>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692280</xdr:colOff>
      <xdr:row>4</xdr:row>
      <xdr:rowOff>237240</xdr:rowOff>
    </xdr:to>
    <xdr:pic>
      <xdr:nvPicPr>
        <xdr:cNvPr id="0"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2666160</xdr:colOff>
      <xdr:row>4</xdr:row>
      <xdr:rowOff>237240</xdr:rowOff>
    </xdr:to>
    <xdr:pic>
      <xdr:nvPicPr>
        <xdr:cNvPr id="1"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hyperlink" Target="https://payhip.com/b/jxqJ6"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2" t="s">
        <v>0</v>
      </c>
      <c r="C9" s="2"/>
    </row>
    <row r="10" customFormat="false" ht="15" hidden="false" customHeight="true" outlineLevel="0" collapsed="false">
      <c r="B10" s="3" t="s">
        <v>1</v>
      </c>
      <c r="C10" s="3"/>
    </row>
    <row r="12" customFormat="false" ht="61.5" hidden="false" customHeight="true" outlineLevel="0" collapsed="false">
      <c r="B12" s="4" t="s">
        <v>2</v>
      </c>
      <c r="C12" s="5" t="s">
        <v>3</v>
      </c>
    </row>
    <row r="14" customFormat="false" ht="15" hidden="false" customHeight="true" outlineLevel="0" collapsed="false">
      <c r="B14" s="4" t="s">
        <v>4</v>
      </c>
    </row>
    <row r="15" customFormat="false" ht="30" hidden="false" customHeight="true" outlineLevel="0" collapsed="false">
      <c r="B15" s="6" t="s">
        <v>5</v>
      </c>
      <c r="C15" s="5" t="s">
        <v>6</v>
      </c>
    </row>
    <row r="16" customFormat="false" ht="30" hidden="false" customHeight="true" outlineLevel="0" collapsed="false">
      <c r="B16" s="6" t="s">
        <v>7</v>
      </c>
      <c r="C16" s="5" t="s">
        <v>8</v>
      </c>
    </row>
    <row r="17" customFormat="false" ht="30" hidden="false" customHeight="true" outlineLevel="0" collapsed="false">
      <c r="B17" s="6" t="s">
        <v>9</v>
      </c>
      <c r="C17" s="5" t="s">
        <v>10</v>
      </c>
    </row>
    <row r="19" customFormat="false" ht="15" hidden="false" customHeight="true" outlineLevel="0" collapsed="false">
      <c r="B19" s="4" t="s">
        <v>11</v>
      </c>
    </row>
    <row r="20" customFormat="false" ht="30" hidden="false" customHeight="true" outlineLevel="0" collapsed="false">
      <c r="B20" s="6" t="s">
        <v>12</v>
      </c>
      <c r="C20" s="5" t="s">
        <v>13</v>
      </c>
    </row>
    <row r="21" customFormat="false" ht="30" hidden="false" customHeight="true" outlineLevel="0" collapsed="false">
      <c r="B21" s="6" t="s">
        <v>14</v>
      </c>
      <c r="C21" s="5" t="s">
        <v>15</v>
      </c>
    </row>
    <row r="22" customFormat="false" ht="30" hidden="false" customHeight="true" outlineLevel="0" collapsed="false">
      <c r="B22" s="6" t="s">
        <v>16</v>
      </c>
      <c r="C22" s="5" t="s">
        <v>17</v>
      </c>
    </row>
    <row r="23" customFormat="false" ht="30" hidden="false" customHeight="true" outlineLevel="0" collapsed="false">
      <c r="B23" s="6" t="s">
        <v>18</v>
      </c>
      <c r="C23" s="5" t="s">
        <v>19</v>
      </c>
    </row>
    <row r="25" customFormat="false" ht="27.75" hidden="false" customHeight="true" outlineLevel="0" collapsed="false">
      <c r="B25" s="4" t="s">
        <v>20</v>
      </c>
      <c r="C25" s="5" t="s">
        <v>21</v>
      </c>
    </row>
    <row r="26" customFormat="false" ht="27.75" hidden="false" customHeight="true" outlineLevel="0" collapsed="false">
      <c r="C26" s="5" t="s">
        <v>22</v>
      </c>
    </row>
    <row r="27" customFormat="false" ht="27.75" hidden="false" customHeight="true" outlineLevel="0" collapsed="false">
      <c r="C27" s="5" t="s">
        <v>23</v>
      </c>
    </row>
    <row r="28" customFormat="false" ht="27.75" hidden="false" customHeight="true" outlineLevel="0" collapsed="false">
      <c r="C28" s="5" t="s">
        <v>24</v>
      </c>
    </row>
    <row r="30" customFormat="false" ht="48" hidden="false" customHeight="true" outlineLevel="0" collapsed="false">
      <c r="B30" s="4" t="s">
        <v>25</v>
      </c>
      <c r="C30" s="5" t="s">
        <v>26</v>
      </c>
    </row>
    <row r="32" customFormat="false" ht="60" hidden="false" customHeight="true" outlineLevel="0" collapsed="false">
      <c r="B32" s="4" t="s">
        <v>27</v>
      </c>
      <c r="C32" s="5" t="s">
        <v>28</v>
      </c>
    </row>
    <row r="34" customFormat="false" ht="48" hidden="false" customHeight="true" outlineLevel="0" collapsed="false">
      <c r="B34" s="4" t="s">
        <v>29</v>
      </c>
      <c r="C34" s="5" t="s">
        <v>30</v>
      </c>
    </row>
    <row r="36" customFormat="false" ht="30" hidden="false" customHeight="true" outlineLevel="0" collapsed="false">
      <c r="B36" s="4" t="s">
        <v>31</v>
      </c>
      <c r="C36" s="5" t="s">
        <v>32</v>
      </c>
    </row>
    <row r="37" customFormat="false" ht="30" hidden="false" customHeight="true" outlineLevel="0" collapsed="false">
      <c r="C37" s="5" t="s">
        <v>33</v>
      </c>
    </row>
    <row r="38" customFormat="false" ht="30" hidden="false" customHeight="true" outlineLevel="0" collapsed="false">
      <c r="C38" s="5" t="s">
        <v>34</v>
      </c>
    </row>
    <row r="40" customFormat="false" ht="48" hidden="false" customHeight="true" outlineLevel="0" collapsed="false">
      <c r="B40" s="4" t="s">
        <v>35</v>
      </c>
      <c r="C40" s="5" t="s">
        <v>36</v>
      </c>
    </row>
    <row r="42" customFormat="false" ht="15" hidden="false" customHeight="true" outlineLevel="0" collapsed="false">
      <c r="B42" s="7" t="s">
        <v>37</v>
      </c>
      <c r="C42" s="8"/>
    </row>
    <row r="43" customFormat="false" ht="48" hidden="false" customHeight="true" outlineLevel="0" collapsed="false">
      <c r="C43" s="5" t="s">
        <v>38</v>
      </c>
    </row>
    <row r="44" customFormat="false" ht="15" hidden="false" customHeight="true" outlineLevel="0" collapsed="false">
      <c r="C44" s="9" t="s">
        <v>39</v>
      </c>
    </row>
    <row r="46" customFormat="false" ht="32.25" hidden="false" customHeight="true" outlineLevel="0" collapsed="false">
      <c r="B46" s="10" t="s">
        <v>40</v>
      </c>
    </row>
    <row r="47" customFormat="false" ht="21.75" hidden="false" customHeight="true" outlineLevel="0" collapsed="false">
      <c r="B47" s="10" t="s">
        <v>41</v>
      </c>
    </row>
    <row r="48" customFormat="false" ht="18.75" hidden="false" customHeight="true" outlineLevel="0" collapsed="false">
      <c r="B48" s="11" t="s">
        <v>42</v>
      </c>
    </row>
  </sheetData>
  <sheetProtection sheet="true" password="b7e1" objects="true" scenarios="true" formatCells="false" formatColumns="false" formatRows="false" sort="false" autoFilter="false"/>
  <mergeCells count="2">
    <mergeCell ref="B9:C9"/>
    <mergeCell ref="B10:C10"/>
  </mergeCells>
  <hyperlinks>
    <hyperlink ref="C44"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Operational Reporting (Free Edition)&amp;R&amp;8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4" min="3" style="1" width="15"/>
    <col collapsed="false" customWidth="true" hidden="false" outlineLevel="0" max="10" min="5" style="1" width="16"/>
    <col collapsed="false" customWidth="true" hidden="true" outlineLevel="0" max="21" min="14" style="1" width="13"/>
  </cols>
  <sheetData>
    <row r="1" customFormat="false" ht="18" hidden="false" customHeight="true" outlineLevel="0" collapsed="false">
      <c r="A1" s="12" t="s">
        <v>12</v>
      </c>
    </row>
    <row r="2" customFormat="false" ht="15" hidden="false" customHeight="true" outlineLevel="0" collapsed="false">
      <c r="A2" s="13" t="s">
        <v>43</v>
      </c>
    </row>
    <row r="3" customFormat="false" ht="15" hidden="false" customHeight="true" outlineLevel="0" collapsed="false">
      <c r="N3" s="14" t="s">
        <v>44</v>
      </c>
    </row>
    <row r="4" customFormat="false" ht="15" hidden="false" customHeight="true" outlineLevel="0" collapsed="false">
      <c r="A4" s="15" t="s">
        <v>45</v>
      </c>
      <c r="B4" s="8"/>
      <c r="C4" s="8"/>
      <c r="D4" s="8"/>
      <c r="E4" s="8"/>
      <c r="F4" s="8"/>
      <c r="G4" s="8"/>
      <c r="H4" s="8"/>
      <c r="I4" s="8"/>
      <c r="J4" s="8"/>
      <c r="N4" s="16" t="s">
        <v>46</v>
      </c>
      <c r="O4" s="16" t="s">
        <v>47</v>
      </c>
      <c r="P4" s="16" t="n">
        <v>0.09</v>
      </c>
      <c r="Q4" s="16" t="n">
        <v>375000</v>
      </c>
      <c r="R4" s="16" t="n">
        <v>0.0575</v>
      </c>
      <c r="S4" s="16" t="n">
        <v>0</v>
      </c>
      <c r="T4" s="16" t="n">
        <v>0.05</v>
      </c>
      <c r="U4" s="16" t="s">
        <v>48</v>
      </c>
    </row>
    <row r="5" customFormat="false" ht="15" hidden="false" customHeight="true" outlineLevel="0" collapsed="false">
      <c r="A5" s="17" t="s">
        <v>49</v>
      </c>
      <c r="B5" s="18" t="s">
        <v>50</v>
      </c>
      <c r="N5" s="16" t="s">
        <v>51</v>
      </c>
      <c r="O5" s="16" t="s">
        <v>52</v>
      </c>
      <c r="P5" s="16" t="n">
        <v>0.025</v>
      </c>
      <c r="Q5" s="16" t="n">
        <v>0</v>
      </c>
      <c r="R5" s="16" t="n">
        <v>0.0411</v>
      </c>
      <c r="S5" s="16" t="n">
        <v>0.02</v>
      </c>
      <c r="T5" s="16" t="n">
        <v>0.15</v>
      </c>
      <c r="U5" s="16" t="s">
        <v>53</v>
      </c>
    </row>
    <row r="6" customFormat="false" ht="15" hidden="false" customHeight="true" outlineLevel="0" collapsed="false">
      <c r="A6" s="17" t="s">
        <v>54</v>
      </c>
      <c r="B6" s="19" t="n">
        <v>46027</v>
      </c>
      <c r="E6" s="13" t="s">
        <v>55</v>
      </c>
      <c r="N6" s="16" t="s">
        <v>56</v>
      </c>
      <c r="O6" s="16" t="s">
        <v>57</v>
      </c>
      <c r="P6" s="16" t="n">
        <v>0</v>
      </c>
      <c r="Q6" s="16" t="n">
        <v>0</v>
      </c>
      <c r="R6" s="16" t="n">
        <v>0.0575</v>
      </c>
      <c r="S6" s="16" t="n">
        <v>0</v>
      </c>
      <c r="T6" s="16" t="n">
        <v>0</v>
      </c>
      <c r="U6" s="16" t="s">
        <v>58</v>
      </c>
    </row>
    <row r="7" customFormat="false" ht="15" hidden="false" customHeight="true" outlineLevel="0" collapsed="false">
      <c r="N7" s="16" t="s">
        <v>59</v>
      </c>
      <c r="O7" s="16" t="s">
        <v>60</v>
      </c>
      <c r="P7" s="16" t="n">
        <v>0</v>
      </c>
      <c r="Q7" s="16" t="n">
        <v>0</v>
      </c>
      <c r="R7" s="16" t="n">
        <v>0.0411</v>
      </c>
      <c r="S7" s="16" t="n">
        <v>0</v>
      </c>
      <c r="T7" s="16" t="n">
        <v>0</v>
      </c>
      <c r="U7" s="16" t="s">
        <v>61</v>
      </c>
    </row>
    <row r="8" customFormat="false" ht="15" hidden="false" customHeight="true" outlineLevel="0" collapsed="false">
      <c r="A8" s="15" t="s">
        <v>62</v>
      </c>
      <c r="B8" s="8"/>
      <c r="C8" s="8"/>
      <c r="D8" s="8"/>
      <c r="E8" s="8"/>
      <c r="F8" s="8"/>
      <c r="G8" s="8"/>
      <c r="H8" s="8"/>
      <c r="I8" s="8"/>
      <c r="J8" s="8"/>
      <c r="N8" s="16" t="s">
        <v>63</v>
      </c>
      <c r="O8" s="16" t="s">
        <v>64</v>
      </c>
      <c r="P8" s="16" t="n">
        <v>0</v>
      </c>
      <c r="Q8" s="16" t="n">
        <v>0</v>
      </c>
      <c r="R8" s="16" t="n">
        <v>0.042</v>
      </c>
      <c r="S8" s="16" t="n">
        <v>0.03</v>
      </c>
      <c r="T8" s="16" t="n">
        <v>0.1</v>
      </c>
      <c r="U8" s="16" t="s">
        <v>65</v>
      </c>
    </row>
    <row r="9" customFormat="false" ht="15" hidden="false" customHeight="true" outlineLevel="0" collapsed="false">
      <c r="A9" s="20" t="s">
        <v>66</v>
      </c>
      <c r="B9" s="21" t="s">
        <v>46</v>
      </c>
      <c r="E9" s="13" t="s">
        <v>67</v>
      </c>
      <c r="N9" s="16" t="s">
        <v>68</v>
      </c>
      <c r="O9" s="16" t="s">
        <v>69</v>
      </c>
      <c r="P9" s="16" t="n">
        <v>0.15</v>
      </c>
      <c r="Q9" s="16" t="n">
        <v>0</v>
      </c>
      <c r="R9" s="16" t="n">
        <v>0.0822</v>
      </c>
      <c r="S9" s="16" t="n">
        <v>0.145</v>
      </c>
      <c r="T9" s="16" t="n">
        <v>0.05</v>
      </c>
      <c r="U9" s="16" t="s">
        <v>70</v>
      </c>
    </row>
    <row r="10" customFormat="false" ht="15" hidden="false" customHeight="true" outlineLevel="0" collapsed="false">
      <c r="N10" s="16" t="s">
        <v>71</v>
      </c>
      <c r="O10" s="16" t="s">
        <v>72</v>
      </c>
      <c r="P10" s="16" t="n">
        <v>0.225</v>
      </c>
      <c r="Q10" s="16" t="n">
        <v>0</v>
      </c>
      <c r="R10" s="16" t="n">
        <v>0</v>
      </c>
      <c r="S10" s="16" t="n">
        <v>0.1875</v>
      </c>
      <c r="T10" s="16" t="n">
        <v>0.14</v>
      </c>
      <c r="U10" s="16" t="s">
        <v>73</v>
      </c>
    </row>
    <row r="11" customFormat="false" ht="15" hidden="false" customHeight="true" outlineLevel="0" collapsed="false">
      <c r="A11" s="22"/>
      <c r="B11" s="23" t="s">
        <v>74</v>
      </c>
      <c r="C11" s="23" t="s">
        <v>75</v>
      </c>
      <c r="D11" s="23" t="s">
        <v>76</v>
      </c>
      <c r="N11" s="16" t="s">
        <v>77</v>
      </c>
      <c r="O11" s="16" t="s">
        <v>78</v>
      </c>
      <c r="P11" s="16" t="n">
        <v>0.21</v>
      </c>
      <c r="Q11" s="16" t="n">
        <v>0</v>
      </c>
      <c r="R11" s="16" t="n">
        <v>0</v>
      </c>
      <c r="S11" s="16" t="n">
        <v>0.1425</v>
      </c>
      <c r="T11" s="16" t="n">
        <v>0.16</v>
      </c>
      <c r="U11" s="16" t="s">
        <v>79</v>
      </c>
    </row>
    <row r="12" customFormat="false" ht="15" hidden="false" customHeight="true" outlineLevel="0" collapsed="false">
      <c r="A12" s="24" t="s">
        <v>80</v>
      </c>
      <c r="B12" s="25" t="str">
        <f aca="false">IFERROR(INDEX($O$4:$O$14,MATCH($B$9,$N$4:$N$14,0)),"")</f>
        <v>AED</v>
      </c>
      <c r="C12" s="26"/>
      <c r="D12" s="27" t="str">
        <f aca="false">IF($C$12="",$B$12,$C$12)</f>
        <v>AED</v>
      </c>
      <c r="E12" s="13" t="s">
        <v>81</v>
      </c>
      <c r="N12" s="16" t="s">
        <v>82</v>
      </c>
      <c r="O12" s="16" t="s">
        <v>83</v>
      </c>
      <c r="P12" s="16" t="n">
        <v>0.19</v>
      </c>
      <c r="Q12" s="16" t="n">
        <v>50000</v>
      </c>
      <c r="R12" s="16" t="n">
        <v>0</v>
      </c>
      <c r="S12" s="16" t="n">
        <v>0.15</v>
      </c>
      <c r="T12" s="16" t="n">
        <v>0.2</v>
      </c>
      <c r="U12" s="16" t="s">
        <v>84</v>
      </c>
    </row>
    <row r="13" customFormat="false" ht="15" hidden="false" customHeight="true" outlineLevel="0" collapsed="false">
      <c r="A13" s="24" t="s">
        <v>85</v>
      </c>
      <c r="B13" s="28" t="n">
        <f aca="false">IFERROR(INDEX($T$4:$T$14,MATCH($B$9,$N$4:$N$14,0)),"")</f>
        <v>0.05</v>
      </c>
      <c r="C13" s="29"/>
      <c r="D13" s="30" t="n">
        <f aca="false">IF($C$13="",$B$13,$C$13)</f>
        <v>0.05</v>
      </c>
      <c r="E13" s="13" t="s">
        <v>86</v>
      </c>
      <c r="N13" s="16" t="s">
        <v>87</v>
      </c>
      <c r="O13" s="16" t="s">
        <v>88</v>
      </c>
      <c r="P13" s="16" t="n">
        <v>0.21</v>
      </c>
      <c r="Q13" s="16" t="n">
        <v>0</v>
      </c>
      <c r="R13" s="16" t="n">
        <v>0</v>
      </c>
      <c r="S13" s="16" t="n">
        <v>0.0765</v>
      </c>
      <c r="T13" s="16" t="n">
        <v>0.075</v>
      </c>
      <c r="U13" s="16" t="s">
        <v>89</v>
      </c>
    </row>
    <row r="14" customFormat="false" ht="15" hidden="false" customHeight="true" outlineLevel="0" collapsed="false">
      <c r="N14" s="16" t="s">
        <v>90</v>
      </c>
      <c r="O14" s="16" t="s">
        <v>47</v>
      </c>
      <c r="P14" s="16" t="n">
        <v>0</v>
      </c>
      <c r="Q14" s="16" t="n">
        <v>0</v>
      </c>
      <c r="R14" s="16" t="n">
        <v>0</v>
      </c>
      <c r="S14" s="16" t="n">
        <v>0</v>
      </c>
      <c r="T14" s="16" t="n">
        <v>0</v>
      </c>
      <c r="U14" s="16" t="s">
        <v>91</v>
      </c>
    </row>
    <row r="15" customFormat="false" ht="57.75" hidden="false" customHeight="true" outlineLevel="0" collapsed="false">
      <c r="A15" s="31" t="str">
        <f aca="false">IFERROR(INDEX($U$4:$U$14,MATCH($B$9,$N$4:$N$14,0)),"")</f>
        <v>Corporate tax is 9% on profit above AED 375,000. If your revenue is under AED 3 million you may be able to elect out of it altogether under Small Business Relief - worth one question to your accountant. End-of-service is 21 days of basic wage a year. Expatriate staff carry no employer social security; UAE nationals carry 12.5%, and 15% in Abu Dhabi.</v>
      </c>
      <c r="B15" s="31"/>
      <c r="C15" s="31"/>
      <c r="D15" s="31"/>
      <c r="E15" s="31"/>
    </row>
    <row r="17" customFormat="false" ht="15" hidden="false" customHeight="true" outlineLevel="0" collapsed="false">
      <c r="A17" s="15" t="s">
        <v>92</v>
      </c>
      <c r="B17" s="8"/>
      <c r="C17" s="8"/>
      <c r="D17" s="8"/>
      <c r="E17" s="8"/>
      <c r="F17" s="8"/>
      <c r="G17" s="8"/>
      <c r="H17" s="8"/>
      <c r="I17" s="8"/>
      <c r="J17" s="8"/>
    </row>
    <row r="18" customFormat="false" ht="15" hidden="false" customHeight="true" outlineLevel="0" collapsed="false">
      <c r="A18" s="17" t="s">
        <v>93</v>
      </c>
      <c r="B18" s="32" t="n">
        <v>70</v>
      </c>
      <c r="E18" s="13" t="s">
        <v>94</v>
      </c>
    </row>
    <row r="19" customFormat="false" ht="15" hidden="false" customHeight="true" outlineLevel="0" collapsed="false">
      <c r="A19" s="17" t="s">
        <v>95</v>
      </c>
      <c r="B19" s="32" t="n">
        <v>32</v>
      </c>
    </row>
    <row r="20" customFormat="false" ht="15" hidden="false" customHeight="true" outlineLevel="0" collapsed="false">
      <c r="A20" s="17" t="s">
        <v>96</v>
      </c>
      <c r="B20" s="33" t="n">
        <v>60000</v>
      </c>
    </row>
    <row r="22" customFormat="false" ht="42" hidden="false" customHeight="true" outlineLevel="0" collapsed="false">
      <c r="A22" s="34" t="s">
        <v>97</v>
      </c>
      <c r="B22" s="34"/>
      <c r="C22" s="34"/>
      <c r="D22" s="34"/>
      <c r="E22" s="34"/>
      <c r="F22" s="34"/>
    </row>
  </sheetData>
  <sheetProtection sheet="true" password="b7e1" objects="true" scenarios="true" formatCells="false" formatColumns="false" formatRows="false" sort="false" autoFilter="false"/>
  <mergeCells count="2">
    <mergeCell ref="A15:E15"/>
    <mergeCell ref="A22:F22"/>
  </mergeCells>
  <dataValidations count="1">
    <dataValidation allowBlank="false" errorStyle="stop" operator="between" showDropDown="false" showErrorMessage="false" showInputMessage="false" sqref="B9" type="list">
      <formula1>$N$4:$N$14</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Operational Reporting (Free Edition)&amp;R&amp;8 &amp;K6b6157backofhouseco.com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4"/>
    <col collapsed="false" customWidth="true" hidden="false" outlineLevel="0" max="3" min="3" style="1" width="12"/>
    <col collapsed="false" customWidth="true" hidden="false" outlineLevel="0" max="4" min="4" style="1" width="14"/>
    <col collapsed="false" customWidth="true" hidden="false" outlineLevel="0" max="5" min="5" style="1" width="12"/>
    <col collapsed="false" customWidth="true" hidden="false" outlineLevel="0" max="7" min="6" style="1" width="13"/>
    <col collapsed="false" customWidth="true" hidden="false" outlineLevel="0" max="8" min="8" style="1" width="17"/>
    <col collapsed="false" customWidth="true" hidden="false" outlineLevel="0" max="9" min="9" style="1" width="15"/>
    <col collapsed="false" customWidth="true" hidden="false" outlineLevel="0" max="10" min="10" style="1" width="12"/>
    <col collapsed="false" customWidth="true" hidden="false" outlineLevel="0" max="11" min="11" style="1" width="18"/>
  </cols>
  <sheetData>
    <row r="1" customFormat="false" ht="18" hidden="false" customHeight="true" outlineLevel="0" collapsed="false">
      <c r="A1" s="12" t="s">
        <v>16</v>
      </c>
    </row>
    <row r="2" customFormat="false" ht="15" hidden="false" customHeight="true" outlineLevel="0" collapsed="false">
      <c r="A2" s="35" t="str">
        <f aca="false">" Two weeks. Nothing to type - it is all built from the Daily Entry tab.   Currency: "&amp;Settings!$D$12</f>
        <v> Two weeks. Nothing to type - it is all built from the Daily Entry tab.   Currency: AED</v>
      </c>
    </row>
    <row r="3" customFormat="false" ht="15" hidden="false" customHeight="true" outlineLevel="0" collapsed="false">
      <c r="A3" s="13" t="s">
        <v>98</v>
      </c>
    </row>
    <row r="7" customFormat="false" ht="31.5" hidden="false" customHeight="true" outlineLevel="0" collapsed="false">
      <c r="A7" s="36" t="s">
        <v>99</v>
      </c>
      <c r="B7" s="37" t="s">
        <v>100</v>
      </c>
      <c r="C7" s="37" t="s">
        <v>101</v>
      </c>
      <c r="D7" s="37" t="s">
        <v>102</v>
      </c>
      <c r="E7" s="37" t="s">
        <v>103</v>
      </c>
      <c r="F7" s="37" t="s">
        <v>104</v>
      </c>
      <c r="G7" s="37" t="s">
        <v>105</v>
      </c>
      <c r="H7" s="37" t="s">
        <v>106</v>
      </c>
      <c r="I7" s="37" t="s">
        <v>107</v>
      </c>
      <c r="J7" s="37" t="s">
        <v>108</v>
      </c>
      <c r="K7" s="37" t="s">
        <v>109</v>
      </c>
    </row>
    <row r="8" customFormat="false" ht="15" hidden="false" customHeight="true" outlineLevel="0" collapsed="false">
      <c r="A8" s="38" t="n">
        <f aca="false">1</f>
        <v>1</v>
      </c>
      <c r="B8" s="39" t="n">
        <f aca="false">Settings!$B$6+0</f>
        <v>46027</v>
      </c>
      <c r="C8" s="40" t="n">
        <f aca="false">COUNTIFS('Daily Entry'!$C$8:$C$21,1,'Daily Entry'!$G$8:$G$21,"&gt;0")</f>
        <v>7</v>
      </c>
      <c r="D8" s="41" t="n">
        <f aca="false">SUMIF('Daily Entry'!$C$8:$C$21,1,'Daily Entry'!$G$8:$G$21)</f>
        <v>63923.8095238095</v>
      </c>
      <c r="E8" s="42" t="n">
        <f aca="false">IF($D8=0,"",$D8/Settings!$B$20-1)</f>
        <v>0.0653968253968253</v>
      </c>
      <c r="F8" s="42" t="str">
        <f aca="false">""</f>
        <v/>
      </c>
      <c r="G8" s="40" t="n">
        <f aca="false">SUMIF('Daily Entry'!$C$8:$C$21,1,'Daily Entry'!$E$8:$E$21)</f>
        <v>1939</v>
      </c>
      <c r="H8" s="40" t="n">
        <f aca="false">IFERROR(IF($C8=0,"",$G8/$C8),"")</f>
        <v>277</v>
      </c>
      <c r="I8" s="43" t="n">
        <f aca="false">IFERROR(IF($G8=0,"",$D8/$G8),"")</f>
        <v>32.9674107910312</v>
      </c>
      <c r="J8" s="40" t="n">
        <f aca="false">SUMIF('Daily Entry'!$C$8:$C$21,1,'Daily Entry'!$F$8:$F$21)</f>
        <v>887</v>
      </c>
      <c r="K8" s="43" t="n">
        <f aca="false">IFERROR(IF($J8=0,"",$D8/$J8),"")</f>
        <v>72.0674290009127</v>
      </c>
    </row>
    <row r="9" customFormat="false" ht="15" hidden="false" customHeight="true" outlineLevel="0" collapsed="false">
      <c r="A9" s="38" t="n">
        <f aca="false">2</f>
        <v>2</v>
      </c>
      <c r="B9" s="39" t="n">
        <f aca="false">Settings!$B$6+7</f>
        <v>46034</v>
      </c>
      <c r="C9" s="40" t="n">
        <f aca="false">COUNTIFS('Daily Entry'!$C$8:$C$21,2,'Daily Entry'!$G$8:$G$21,"&gt;0")</f>
        <v>0</v>
      </c>
      <c r="D9" s="41" t="n">
        <f aca="false">SUMIF('Daily Entry'!$C$8:$C$21,2,'Daily Entry'!$G$8:$G$21)</f>
        <v>0</v>
      </c>
      <c r="E9" s="42" t="str">
        <f aca="false">IF($D9=0,"",$D9/Settings!$B$20-1)</f>
        <v/>
      </c>
      <c r="F9" s="42" t="str">
        <f aca="false">IF(OR($D9=0,$D8=0),"",$D9/$D8-1)</f>
        <v/>
      </c>
      <c r="G9" s="40" t="n">
        <f aca="false">SUMIF('Daily Entry'!$C$8:$C$21,2,'Daily Entry'!$E$8:$E$21)</f>
        <v>0</v>
      </c>
      <c r="H9" s="40" t="str">
        <f aca="false">IFERROR(IF($C9=0,"",$G9/$C9),"")</f>
        <v/>
      </c>
      <c r="I9" s="43" t="str">
        <f aca="false">IFERROR(IF($G9=0,"",$D9/$G9),"")</f>
        <v/>
      </c>
      <c r="J9" s="40" t="n">
        <f aca="false">SUMIF('Daily Entry'!$C$8:$C$21,2,'Daily Entry'!$F$8:$F$21)</f>
        <v>0</v>
      </c>
      <c r="K9" s="43" t="str">
        <f aca="false">IFERROR(IF($J9=0,"",$D9/$J9),"")</f>
        <v/>
      </c>
    </row>
    <row r="11" customFormat="false" ht="15" hidden="false" customHeight="true" outlineLevel="0" collapsed="false">
      <c r="A11" s="44" t="s">
        <v>110</v>
      </c>
      <c r="B11" s="45"/>
      <c r="C11" s="46" t="n">
        <f aca="false">SUM(C8:C9)</f>
        <v>7</v>
      </c>
      <c r="D11" s="46" t="n">
        <f aca="false">SUM(D8:D9)</f>
        <v>63923.8095238095</v>
      </c>
      <c r="E11" s="45"/>
      <c r="F11" s="45"/>
      <c r="G11" s="46" t="n">
        <f aca="false">SUM(G8:G9)</f>
        <v>1939</v>
      </c>
      <c r="H11" s="46" t="n">
        <f aca="false">IFERROR($G$11/$C$11,0)</f>
        <v>277</v>
      </c>
      <c r="I11" s="47" t="n">
        <f aca="false">IFERROR($D$11/$G$11,0)</f>
        <v>32.9674107910312</v>
      </c>
      <c r="J11" s="46" t="n">
        <f aca="false">SUM(J8:J9)</f>
        <v>887</v>
      </c>
      <c r="K11" s="47" t="n">
        <f aca="false">IFERROR($D$11/$J$11,0)</f>
        <v>72.0674290009127</v>
      </c>
    </row>
    <row r="13" customFormat="false" ht="15" hidden="false" customHeight="true" outlineLevel="0" collapsed="false">
      <c r="A13" s="13" t="s">
        <v>111</v>
      </c>
    </row>
    <row r="14" customFormat="false" ht="15" hidden="false" customHeight="true" outlineLevel="0" collapsed="false">
      <c r="A14" s="13" t="s">
        <v>112</v>
      </c>
    </row>
    <row r="15" customFormat="false" ht="15" hidden="false" customHeight="true" outlineLevel="0" collapsed="false">
      <c r="A15" s="13" t="s">
        <v>113</v>
      </c>
    </row>
  </sheetData>
  <sheetProtection sheet="true" password="b7e1" objects="true" scenarios="true" formatCells="false" formatColumns="false" formatRows="false" sort="false" autoFilter="false"/>
  <conditionalFormatting sqref="I8:I9">
    <cfRule type="expression" priority="2" aboveAverage="0" equalAverage="0" bottom="0" percent="0" rank="0" text="" dxfId="0">
      <formula>AND(I8&lt;&gt;"",I8&gt;0,I8&lt;Settings!$B$19)</formula>
    </cfRule>
    <cfRule type="expression" priority="3" aboveAverage="0" equalAverage="0" bottom="0" percent="0" rank="0" text="" dxfId="1">
      <formula>AND(I8&lt;&gt;"",I8&gt;=Settings!$B$19)</formula>
    </cfRule>
  </conditionalFormatting>
  <conditionalFormatting sqref="K8:K9">
    <cfRule type="expression" priority="4" aboveAverage="0" equalAverage="0" bottom="0" percent="0" rank="0" text="" dxfId="0">
      <formula>AND(K8&lt;&gt;"",K8&gt;0,K8&lt;Settings!$B$18)</formula>
    </cfRule>
    <cfRule type="expression" priority="5" aboveAverage="0" equalAverage="0" bottom="0" percent="0" rank="0" text="" dxfId="1">
      <formula>AND(K8&lt;&gt;"",K8&gt;=Settings!$B$18)</formula>
    </cfRule>
  </conditionalFormatting>
  <conditionalFormatting sqref="E8:F9">
    <cfRule type="expression" priority="6" aboveAverage="0" equalAverage="0" bottom="0" percent="0" rank="0" text="" dxfId="2">
      <formula>AND(E8&lt;&gt;"",E8&lt;0)</formula>
    </cfRule>
  </conditionalFormatting>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Operational Reporting (Free Edition)&amp;R&amp;8 &amp;K6b6157backofhouseco.com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7"/>
    <col collapsed="false" customWidth="true" hidden="false" outlineLevel="0" max="3" min="3" style="1" width="5"/>
    <col collapsed="false" customWidth="true" hidden="false" outlineLevel="0" max="4" min="4" style="1" width="18"/>
    <col collapsed="false" customWidth="true" hidden="false" outlineLevel="0" max="7" min="5" style="1" width="13"/>
    <col collapsed="false" customWidth="true" hidden="false" outlineLevel="0" max="8" min="8" style="1" width="15"/>
    <col collapsed="false" customWidth="true" hidden="false" outlineLevel="0" max="9" min="9" style="1" width="18"/>
    <col collapsed="false" customWidth="true" hidden="false" outlineLevel="0" max="10" min="10" style="1" width="34"/>
  </cols>
  <sheetData>
    <row r="1" customFormat="false" ht="18" hidden="false" customHeight="true" outlineLevel="0" collapsed="false">
      <c r="A1" s="12" t="s">
        <v>14</v>
      </c>
    </row>
    <row r="2" customFormat="false" ht="15" hidden="false" customHeight="true" outlineLevel="0" collapsed="false">
      <c r="A2" s="35" t="str">
        <f aca="false">" Two weeks, one line a day. Two minutes at close.   Currency: "&amp;Settings!$D$12</f>
        <v> Two weeks, one line a day. Two minutes at close.   Currency: AED</v>
      </c>
    </row>
    <row r="3" customFormat="false" ht="15" hidden="false" customHeight="true" outlineLevel="0" collapsed="false">
      <c r="A3" s="13" t="s">
        <v>114</v>
      </c>
    </row>
    <row r="4" customFormat="false" ht="15" hidden="false" customHeight="true" outlineLevel="0" collapsed="false">
      <c r="A4" s="13" t="s">
        <v>115</v>
      </c>
    </row>
    <row r="7" customFormat="false" ht="31.5" hidden="false" customHeight="true" outlineLevel="0" collapsed="false">
      <c r="A7" s="36" t="s">
        <v>116</v>
      </c>
      <c r="B7" s="37" t="s">
        <v>117</v>
      </c>
      <c r="C7" s="37" t="s">
        <v>118</v>
      </c>
      <c r="D7" s="37" t="s">
        <v>119</v>
      </c>
      <c r="E7" s="37" t="s">
        <v>105</v>
      </c>
      <c r="F7" s="37" t="s">
        <v>108</v>
      </c>
      <c r="G7" s="37" t="s">
        <v>102</v>
      </c>
      <c r="H7" s="37" t="s">
        <v>107</v>
      </c>
      <c r="I7" s="37" t="s">
        <v>109</v>
      </c>
      <c r="J7" s="37" t="s">
        <v>120</v>
      </c>
    </row>
    <row r="8" customFormat="false" ht="15" hidden="false" customHeight="true" outlineLevel="0" collapsed="false">
      <c r="A8" s="39" t="n">
        <f aca="false">Settings!$B$6+0</f>
        <v>46027</v>
      </c>
      <c r="B8" s="48" t="str">
        <f aca="false">TEXT($A8,"ddd")</f>
        <v>Mon</v>
      </c>
      <c r="C8" s="38" t="n">
        <f aca="false">1</f>
        <v>1</v>
      </c>
      <c r="D8" s="49" t="n">
        <v>7760</v>
      </c>
      <c r="E8" s="49" t="n">
        <v>224</v>
      </c>
      <c r="F8" s="49" t="n">
        <v>118</v>
      </c>
      <c r="G8" s="41" t="n">
        <f aca="false">IF($D8="","",$D8/(1+Settings!$D$13))</f>
        <v>7390.47619047619</v>
      </c>
      <c r="H8" s="50" t="n">
        <f aca="false">IFERROR(IF($E8="","",$G8/$E8),"")</f>
        <v>32.9931972789116</v>
      </c>
      <c r="I8" s="43" t="n">
        <f aca="false">IFERROR(IF($F8="","",$G8/$F8),"")</f>
        <v>62.6311541565779</v>
      </c>
      <c r="J8" s="51"/>
    </row>
    <row r="9" customFormat="false" ht="15" hidden="false" customHeight="true" outlineLevel="0" collapsed="false">
      <c r="A9" s="39" t="n">
        <f aca="false">Settings!$B$6+1</f>
        <v>46028</v>
      </c>
      <c r="B9" s="48" t="str">
        <f aca="false">TEXT($A9,"ddd")</f>
        <v>Tue</v>
      </c>
      <c r="C9" s="38" t="n">
        <f aca="false">1</f>
        <v>1</v>
      </c>
      <c r="D9" s="49" t="n">
        <v>7650</v>
      </c>
      <c r="E9" s="49" t="n">
        <v>221</v>
      </c>
      <c r="F9" s="49" t="n">
        <v>117</v>
      </c>
      <c r="G9" s="41" t="n">
        <f aca="false">IF($D9="","",$D9/(1+Settings!$D$13))</f>
        <v>7285.71428571429</v>
      </c>
      <c r="H9" s="50" t="n">
        <f aca="false">IFERROR(IF($E9="","",$G9/$E9),"")</f>
        <v>32.967032967033</v>
      </c>
      <c r="I9" s="43" t="n">
        <f aca="false">IFERROR(IF($F9="","",$G9/$F9),"")</f>
        <v>62.2710622710623</v>
      </c>
      <c r="J9" s="51"/>
    </row>
    <row r="10" customFormat="false" ht="15" hidden="false" customHeight="true" outlineLevel="0" collapsed="false">
      <c r="A10" s="39" t="n">
        <f aca="false">Settings!$B$6+2</f>
        <v>46029</v>
      </c>
      <c r="B10" s="48" t="str">
        <f aca="false">TEXT($A10,"ddd")</f>
        <v>Wed</v>
      </c>
      <c r="C10" s="38" t="n">
        <f aca="false">1</f>
        <v>1</v>
      </c>
      <c r="D10" s="49" t="n">
        <v>8180</v>
      </c>
      <c r="E10" s="49" t="n">
        <v>236</v>
      </c>
      <c r="F10" s="49" t="n">
        <v>120</v>
      </c>
      <c r="G10" s="41" t="n">
        <f aca="false">IF($D10="","",$D10/(1+Settings!$D$13))</f>
        <v>7790.47619047619</v>
      </c>
      <c r="H10" s="50" t="n">
        <f aca="false">IFERROR(IF($E10="","",$G10/$E10),"")</f>
        <v>33.0104923325262</v>
      </c>
      <c r="I10" s="43" t="n">
        <f aca="false">IFERROR(IF($F10="","",$G10/$F10),"")</f>
        <v>64.9206349206349</v>
      </c>
      <c r="J10" s="51"/>
    </row>
    <row r="11" customFormat="false" ht="15" hidden="false" customHeight="true" outlineLevel="0" collapsed="false">
      <c r="A11" s="39" t="n">
        <f aca="false">Settings!$B$6+3</f>
        <v>46030</v>
      </c>
      <c r="B11" s="48" t="str">
        <f aca="false">TEXT($A11,"ddd")</f>
        <v>Thu</v>
      </c>
      <c r="C11" s="38" t="n">
        <f aca="false">1</f>
        <v>1</v>
      </c>
      <c r="D11" s="49" t="n">
        <v>9200</v>
      </c>
      <c r="E11" s="49" t="n">
        <v>266</v>
      </c>
      <c r="F11" s="49" t="n">
        <v>125</v>
      </c>
      <c r="G11" s="41" t="n">
        <f aca="false">IF($D11="","",$D11/(1+Settings!$D$13))</f>
        <v>8761.90476190476</v>
      </c>
      <c r="H11" s="50" t="n">
        <f aca="false">IFERROR(IF($E11="","",$G11/$E11),"")</f>
        <v>32.9394915861081</v>
      </c>
      <c r="I11" s="43" t="n">
        <f aca="false">IFERROR(IF($F11="","",$G11/$F11),"")</f>
        <v>70.0952380952381</v>
      </c>
      <c r="J11" s="51"/>
    </row>
    <row r="12" customFormat="false" ht="15" hidden="false" customHeight="true" outlineLevel="0" collapsed="false">
      <c r="A12" s="39" t="n">
        <f aca="false">Settings!$B$6+4</f>
        <v>46031</v>
      </c>
      <c r="B12" s="48" t="str">
        <f aca="false">TEXT($A12,"ddd")</f>
        <v>Fri</v>
      </c>
      <c r="C12" s="38" t="n">
        <f aca="false">1</f>
        <v>1</v>
      </c>
      <c r="D12" s="49" t="n">
        <v>11730</v>
      </c>
      <c r="E12" s="49" t="n">
        <v>339</v>
      </c>
      <c r="F12" s="49" t="n">
        <v>137</v>
      </c>
      <c r="G12" s="41" t="n">
        <f aca="false">IF($D12="","",$D12/(1+Settings!$D$13))</f>
        <v>11171.4285714286</v>
      </c>
      <c r="H12" s="50" t="n">
        <f aca="false">IFERROR(IF($E12="","",$G12/$E12),"")</f>
        <v>32.9540665823852</v>
      </c>
      <c r="I12" s="43" t="n">
        <f aca="false">IFERROR(IF($F12="","",$G12/$F12),"")</f>
        <v>81.5432742440042</v>
      </c>
      <c r="J12" s="51"/>
    </row>
    <row r="13" customFormat="false" ht="15" hidden="false" customHeight="true" outlineLevel="0" collapsed="false">
      <c r="A13" s="39" t="n">
        <f aca="false">Settings!$B$6+5</f>
        <v>46032</v>
      </c>
      <c r="B13" s="48" t="str">
        <f aca="false">TEXT($A13,"ddd")</f>
        <v>Sat</v>
      </c>
      <c r="C13" s="38" t="n">
        <f aca="false">1</f>
        <v>1</v>
      </c>
      <c r="D13" s="49" t="n">
        <v>11910</v>
      </c>
      <c r="E13" s="49" t="n">
        <v>344</v>
      </c>
      <c r="F13" s="49" t="n">
        <v>138</v>
      </c>
      <c r="G13" s="41" t="n">
        <f aca="false">IF($D13="","",$D13/(1+Settings!$D$13))</f>
        <v>11342.8571428571</v>
      </c>
      <c r="H13" s="50" t="n">
        <f aca="false">IFERROR(IF($E13="","",$G13/$E13),"")</f>
        <v>32.9734219269103</v>
      </c>
      <c r="I13" s="43" t="n">
        <f aca="false">IFERROR(IF($F13="","",$G13/$F13),"")</f>
        <v>82.1946169772257</v>
      </c>
      <c r="J13" s="51"/>
    </row>
    <row r="14" customFormat="false" ht="15" hidden="false" customHeight="true" outlineLevel="0" collapsed="false">
      <c r="A14" s="39" t="n">
        <f aca="false">Settings!$B$6+6</f>
        <v>46033</v>
      </c>
      <c r="B14" s="48" t="str">
        <f aca="false">TEXT($A14,"ddd")</f>
        <v>Sun</v>
      </c>
      <c r="C14" s="38" t="n">
        <f aca="false">1</f>
        <v>1</v>
      </c>
      <c r="D14" s="49" t="n">
        <v>10690</v>
      </c>
      <c r="E14" s="49" t="n">
        <v>309</v>
      </c>
      <c r="F14" s="49" t="n">
        <v>132</v>
      </c>
      <c r="G14" s="41" t="n">
        <f aca="false">IF($D14="","",$D14/(1+Settings!$D$13))</f>
        <v>10180.9523809524</v>
      </c>
      <c r="H14" s="50" t="n">
        <f aca="false">IFERROR(IF($E14="","",$G14/$E14),"")</f>
        <v>32.9480659577747</v>
      </c>
      <c r="I14" s="43" t="n">
        <f aca="false">IFERROR(IF($F14="","",$G14/$F14),"")</f>
        <v>77.1284271284271</v>
      </c>
      <c r="J14" s="51"/>
    </row>
    <row r="15" customFormat="false" ht="15" hidden="false" customHeight="true" outlineLevel="0" collapsed="false">
      <c r="A15" s="39" t="n">
        <f aca="false">Settings!$B$6+7</f>
        <v>46034</v>
      </c>
      <c r="B15" s="48" t="str">
        <f aca="false">TEXT($A15,"ddd")</f>
        <v>Mon</v>
      </c>
      <c r="C15" s="38" t="n">
        <f aca="false">2</f>
        <v>2</v>
      </c>
      <c r="D15" s="49"/>
      <c r="E15" s="49"/>
      <c r="F15" s="49"/>
      <c r="G15" s="41" t="str">
        <f aca="false">IF($D15="","",$D15/(1+Settings!$D$13))</f>
        <v/>
      </c>
      <c r="H15" s="50" t="str">
        <f aca="false">IFERROR(IF($E15="","",$G15/$E15),"")</f>
        <v/>
      </c>
      <c r="I15" s="43" t="str">
        <f aca="false">IFERROR(IF($F15="","",$G15/$F15),"")</f>
        <v/>
      </c>
      <c r="J15" s="51"/>
    </row>
    <row r="16" customFormat="false" ht="15" hidden="false" customHeight="true" outlineLevel="0" collapsed="false">
      <c r="A16" s="39" t="n">
        <f aca="false">Settings!$B$6+8</f>
        <v>46035</v>
      </c>
      <c r="B16" s="48" t="str">
        <f aca="false">TEXT($A16,"ddd")</f>
        <v>Tue</v>
      </c>
      <c r="C16" s="38" t="n">
        <f aca="false">2</f>
        <v>2</v>
      </c>
      <c r="D16" s="49"/>
      <c r="E16" s="49"/>
      <c r="F16" s="49"/>
      <c r="G16" s="41" t="str">
        <f aca="false">IF($D16="","",$D16/(1+Settings!$D$13))</f>
        <v/>
      </c>
      <c r="H16" s="50" t="str">
        <f aca="false">IFERROR(IF($E16="","",$G16/$E16),"")</f>
        <v/>
      </c>
      <c r="I16" s="43" t="str">
        <f aca="false">IFERROR(IF($F16="","",$G16/$F16),"")</f>
        <v/>
      </c>
      <c r="J16" s="51"/>
    </row>
    <row r="17" customFormat="false" ht="15" hidden="false" customHeight="true" outlineLevel="0" collapsed="false">
      <c r="A17" s="39" t="n">
        <f aca="false">Settings!$B$6+9</f>
        <v>46036</v>
      </c>
      <c r="B17" s="48" t="str">
        <f aca="false">TEXT($A17,"ddd")</f>
        <v>Wed</v>
      </c>
      <c r="C17" s="38" t="n">
        <f aca="false">2</f>
        <v>2</v>
      </c>
      <c r="D17" s="49"/>
      <c r="E17" s="49"/>
      <c r="F17" s="49"/>
      <c r="G17" s="41" t="str">
        <f aca="false">IF($D17="","",$D17/(1+Settings!$D$13))</f>
        <v/>
      </c>
      <c r="H17" s="50" t="str">
        <f aca="false">IFERROR(IF($E17="","",$G17/$E17),"")</f>
        <v/>
      </c>
      <c r="I17" s="43" t="str">
        <f aca="false">IFERROR(IF($F17="","",$G17/$F17),"")</f>
        <v/>
      </c>
      <c r="J17" s="51"/>
    </row>
    <row r="18" customFormat="false" ht="15" hidden="false" customHeight="true" outlineLevel="0" collapsed="false">
      <c r="A18" s="39" t="n">
        <f aca="false">Settings!$B$6+10</f>
        <v>46037</v>
      </c>
      <c r="B18" s="48" t="str">
        <f aca="false">TEXT($A18,"ddd")</f>
        <v>Thu</v>
      </c>
      <c r="C18" s="38" t="n">
        <f aca="false">2</f>
        <v>2</v>
      </c>
      <c r="D18" s="49"/>
      <c r="E18" s="49"/>
      <c r="F18" s="49"/>
      <c r="G18" s="41" t="str">
        <f aca="false">IF($D18="","",$D18/(1+Settings!$D$13))</f>
        <v/>
      </c>
      <c r="H18" s="50" t="str">
        <f aca="false">IFERROR(IF($E18="","",$G18/$E18),"")</f>
        <v/>
      </c>
      <c r="I18" s="43" t="str">
        <f aca="false">IFERROR(IF($F18="","",$G18/$F18),"")</f>
        <v/>
      </c>
      <c r="J18" s="51"/>
    </row>
    <row r="19" customFormat="false" ht="15" hidden="false" customHeight="true" outlineLevel="0" collapsed="false">
      <c r="A19" s="39" t="n">
        <f aca="false">Settings!$B$6+11</f>
        <v>46038</v>
      </c>
      <c r="B19" s="48" t="str">
        <f aca="false">TEXT($A19,"ddd")</f>
        <v>Fri</v>
      </c>
      <c r="C19" s="38" t="n">
        <f aca="false">2</f>
        <v>2</v>
      </c>
      <c r="D19" s="49"/>
      <c r="E19" s="49"/>
      <c r="F19" s="49"/>
      <c r="G19" s="41" t="str">
        <f aca="false">IF($D19="","",$D19/(1+Settings!$D$13))</f>
        <v/>
      </c>
      <c r="H19" s="50" t="str">
        <f aca="false">IFERROR(IF($E19="","",$G19/$E19),"")</f>
        <v/>
      </c>
      <c r="I19" s="43" t="str">
        <f aca="false">IFERROR(IF($F19="","",$G19/$F19),"")</f>
        <v/>
      </c>
      <c r="J19" s="51"/>
    </row>
    <row r="20" customFormat="false" ht="15" hidden="false" customHeight="true" outlineLevel="0" collapsed="false">
      <c r="A20" s="39" t="n">
        <f aca="false">Settings!$B$6+12</f>
        <v>46039</v>
      </c>
      <c r="B20" s="48" t="str">
        <f aca="false">TEXT($A20,"ddd")</f>
        <v>Sat</v>
      </c>
      <c r="C20" s="38" t="n">
        <f aca="false">2</f>
        <v>2</v>
      </c>
      <c r="D20" s="49"/>
      <c r="E20" s="49"/>
      <c r="F20" s="49"/>
      <c r="G20" s="41" t="str">
        <f aca="false">IF($D20="","",$D20/(1+Settings!$D$13))</f>
        <v/>
      </c>
      <c r="H20" s="50" t="str">
        <f aca="false">IFERROR(IF($E20="","",$G20/$E20),"")</f>
        <v/>
      </c>
      <c r="I20" s="43" t="str">
        <f aca="false">IFERROR(IF($F20="","",$G20/$F20),"")</f>
        <v/>
      </c>
      <c r="J20" s="51"/>
    </row>
    <row r="21" customFormat="false" ht="15" hidden="false" customHeight="true" outlineLevel="0" collapsed="false">
      <c r="A21" s="39" t="n">
        <f aca="false">Settings!$B$6+13</f>
        <v>46040</v>
      </c>
      <c r="B21" s="48" t="str">
        <f aca="false">TEXT($A21,"ddd")</f>
        <v>Sun</v>
      </c>
      <c r="C21" s="38" t="n">
        <f aca="false">2</f>
        <v>2</v>
      </c>
      <c r="D21" s="49"/>
      <c r="E21" s="49"/>
      <c r="F21" s="49"/>
      <c r="G21" s="41" t="str">
        <f aca="false">IF($D21="","",$D21/(1+Settings!$D$13))</f>
        <v/>
      </c>
      <c r="H21" s="50" t="str">
        <f aca="false">IFERROR(IF($E21="","",$G21/$E21),"")</f>
        <v/>
      </c>
      <c r="I21" s="43" t="str">
        <f aca="false">IFERROR(IF($F21="","",$G21/$F21),"")</f>
        <v/>
      </c>
      <c r="J21" s="51"/>
    </row>
  </sheetData>
  <sheetProtection sheet="true" password="b7e1" objects="true" scenarios="true" formatCells="false" formatColumns="false" formatRows="false" sort="false" autoFilter="false"/>
  <conditionalFormatting sqref="I8:I21">
    <cfRule type="expression" priority="2" aboveAverage="0" equalAverage="0" bottom="0" percent="0" rank="0" text="" dxfId="0">
      <formula>AND($I8&lt;&gt;"",$I8&lt;Settings!$B$18)</formula>
    </cfRule>
  </conditionalFormatting>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Operational Reporting (Free Edition)&amp;R&amp;8 &amp;K6b6157backofhouseco.com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22"/>
    <col collapsed="false" customWidth="true" hidden="false" outlineLevel="0" max="5" min="5" style="1"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2" t="s">
        <v>121</v>
      </c>
      <c r="C9" s="2"/>
      <c r="D9" s="2"/>
      <c r="E9" s="2"/>
    </row>
    <row r="10" customFormat="false" ht="15" hidden="false" customHeight="true" outlineLevel="0" collapsed="false">
      <c r="B10" s="3" t="s">
        <v>122</v>
      </c>
      <c r="C10" s="3"/>
      <c r="D10" s="3"/>
      <c r="E10" s="3"/>
    </row>
    <row r="12" customFormat="false" ht="18.75" hidden="false" customHeight="true" outlineLevel="0" collapsed="false">
      <c r="B12" s="15" t="s">
        <v>123</v>
      </c>
      <c r="C12" s="8"/>
      <c r="D12" s="8"/>
      <c r="E12" s="8"/>
    </row>
    <row r="13" customFormat="false" ht="15" hidden="false" customHeight="true" outlineLevel="0" collapsed="false">
      <c r="B13" s="34" t="s">
        <v>124</v>
      </c>
      <c r="C13" s="34"/>
      <c r="D13" s="34"/>
      <c r="E13" s="34"/>
    </row>
    <row r="14" customFormat="false" ht="19.5" hidden="false" customHeight="true" outlineLevel="0" collapsed="false">
      <c r="B14" s="52" t="s">
        <v>125</v>
      </c>
      <c r="C14" s="53" t="n">
        <f aca="false">COUNTIF('Daily Entry'!$G$8:$G$21,"&gt;0")</f>
        <v>7</v>
      </c>
    </row>
    <row r="15" customFormat="false" ht="19.5" hidden="false" customHeight="true" outlineLevel="0" collapsed="false">
      <c r="B15" s="52" t="s">
        <v>126</v>
      </c>
      <c r="C15" s="53" t="n">
        <f aca="false">SUM('Daily Entry'!$G$8:$G$21)</f>
        <v>63923.8095238095</v>
      </c>
    </row>
    <row r="16" customFormat="false" ht="19.5" hidden="false" customHeight="true" outlineLevel="0" collapsed="false">
      <c r="B16" s="52" t="s">
        <v>127</v>
      </c>
      <c r="C16" s="54" t="n">
        <f aca="false">IFERROR(SUM('Daily Entry'!$G$8:$G$21)/SUM('Daily Entry'!$F$8:$F$21),0)</f>
        <v>72.0674290009127</v>
      </c>
    </row>
    <row r="17" customFormat="false" ht="19.5" hidden="false" customHeight="true" outlineLevel="0" collapsed="false">
      <c r="B17" s="52" t="s">
        <v>128</v>
      </c>
      <c r="C17" s="53" t="n">
        <f aca="false">COUNTIFS('Daily Entry'!$I$8:$I$21,"&gt;0",'Daily Entry'!$I$8:$I$21,"&lt;"&amp;Settings!$B$18)</f>
        <v>3</v>
      </c>
    </row>
    <row r="19" customFormat="false" ht="42" hidden="false" customHeight="true" outlineLevel="0" collapsed="false">
      <c r="B19" s="55" t="str">
        <f aca="false">IF(COUNTIF('Daily Entry'!$G$8:$G$21,"&gt;0")=0,"Log a few days and this line writes itself from your own numbers.","Across "&amp;COUNTIF('Daily Entry'!$G$8:$G$21,"&gt;0")&amp;" days you turned "&amp;TEXT(SUM('Daily Entry'!$F$8:$F$21),"#,##0")&amp;" paid hours into "&amp;TEXT(SUM('Daily Entry'!$G$8:$G$21),"#,##0")&amp;" of net sales, and "&amp;COUNTIFS('Daily Entry'!$I$8:$I$21,"&gt;0",'Daily Entry'!$I$8:$I$21,"&lt;"&amp;Settings!$B$18)&amp;" days came in under your own target. This file can show you which days. It cannot show you why.")</f>
        <v>Across 7 days you turned 887 paid hours into 63,924 of net sales, and 3 days came in under your own target. This file can show you which days. It cannot show you why.</v>
      </c>
      <c r="C19" s="55"/>
      <c r="D19" s="55"/>
      <c r="E19" s="55"/>
    </row>
    <row r="21" customFormat="false" ht="18.75" hidden="false" customHeight="true" outlineLevel="0" collapsed="false">
      <c r="B21" s="15" t="s">
        <v>129</v>
      </c>
      <c r="C21" s="8"/>
      <c r="D21" s="8"/>
      <c r="E21" s="8"/>
    </row>
    <row r="22" customFormat="false" ht="19.5" hidden="false" customHeight="true" outlineLevel="0" collapsed="false">
      <c r="B22" s="56"/>
      <c r="C22" s="56" t="s">
        <v>130</v>
      </c>
      <c r="D22" s="56" t="s">
        <v>131</v>
      </c>
      <c r="E22" s="56"/>
    </row>
    <row r="23" customFormat="false" ht="18.75" hidden="false" customHeight="true" outlineLevel="0" collapsed="false">
      <c r="B23" s="57" t="s">
        <v>132</v>
      </c>
      <c r="C23" s="58" t="s">
        <v>133</v>
      </c>
      <c r="D23" s="59" t="s">
        <v>134</v>
      </c>
    </row>
    <row r="24" customFormat="false" ht="18.75" hidden="false" customHeight="true" outlineLevel="0" collapsed="false">
      <c r="B24" s="57" t="s">
        <v>135</v>
      </c>
      <c r="C24" s="58" t="s">
        <v>136</v>
      </c>
      <c r="D24" s="59" t="s">
        <v>137</v>
      </c>
    </row>
    <row r="25" customFormat="false" ht="18.75" hidden="false" customHeight="true" outlineLevel="0" collapsed="false">
      <c r="B25" s="57" t="s">
        <v>138</v>
      </c>
      <c r="C25" s="58" t="s">
        <v>139</v>
      </c>
      <c r="D25" s="59" t="s">
        <v>140</v>
      </c>
    </row>
    <row r="26" customFormat="false" ht="18.75" hidden="false" customHeight="true" outlineLevel="0" collapsed="false">
      <c r="B26" s="57" t="s">
        <v>141</v>
      </c>
      <c r="C26" s="58" t="s">
        <v>139</v>
      </c>
      <c r="D26" s="59" t="s">
        <v>142</v>
      </c>
    </row>
    <row r="27" customFormat="false" ht="18.75" hidden="false" customHeight="true" outlineLevel="0" collapsed="false">
      <c r="B27" s="57" t="s">
        <v>143</v>
      </c>
      <c r="C27" s="58" t="s">
        <v>139</v>
      </c>
      <c r="D27" s="59" t="s">
        <v>142</v>
      </c>
    </row>
    <row r="28" customFormat="false" ht="18.75" hidden="false" customHeight="true" outlineLevel="0" collapsed="false">
      <c r="B28" s="57" t="s">
        <v>144</v>
      </c>
      <c r="C28" s="58" t="s">
        <v>139</v>
      </c>
      <c r="D28" s="59" t="s">
        <v>142</v>
      </c>
    </row>
    <row r="29" customFormat="false" ht="18.75" hidden="false" customHeight="true" outlineLevel="0" collapsed="false">
      <c r="B29" s="57" t="s">
        <v>145</v>
      </c>
      <c r="C29" s="58" t="s">
        <v>139</v>
      </c>
      <c r="D29" s="59" t="s">
        <v>142</v>
      </c>
    </row>
    <row r="30" customFormat="false" ht="18.75" hidden="false" customHeight="true" outlineLevel="0" collapsed="false">
      <c r="B30" s="57" t="s">
        <v>146</v>
      </c>
      <c r="C30" s="58" t="s">
        <v>139</v>
      </c>
      <c r="D30" s="59" t="s">
        <v>142</v>
      </c>
    </row>
    <row r="31" customFormat="false" ht="18.75" hidden="false" customHeight="true" outlineLevel="0" collapsed="false">
      <c r="B31" s="57" t="s">
        <v>147</v>
      </c>
      <c r="C31" s="58" t="s">
        <v>139</v>
      </c>
      <c r="D31" s="59" t="s">
        <v>142</v>
      </c>
    </row>
    <row r="32" customFormat="false" ht="18.75" hidden="false" customHeight="true" outlineLevel="0" collapsed="false">
      <c r="B32" s="57" t="s">
        <v>148</v>
      </c>
      <c r="C32" s="58" t="s">
        <v>149</v>
      </c>
      <c r="D32" s="59" t="s">
        <v>150</v>
      </c>
    </row>
    <row r="34" customFormat="false" ht="18.75" hidden="false" customHeight="true" outlineLevel="0" collapsed="false">
      <c r="B34" s="15" t="s">
        <v>151</v>
      </c>
      <c r="C34" s="8"/>
      <c r="D34" s="8"/>
      <c r="E34" s="8"/>
    </row>
    <row r="35" customFormat="false" ht="15" hidden="false" customHeight="true" outlineLevel="0" collapsed="false">
      <c r="B35" s="34" t="s">
        <v>152</v>
      </c>
      <c r="C35" s="34"/>
      <c r="D35" s="34"/>
      <c r="E35" s="34"/>
    </row>
    <row r="36" customFormat="false" ht="19.5" hidden="false" customHeight="true" outlineLevel="0" collapsed="false">
      <c r="B36" s="20" t="s">
        <v>153</v>
      </c>
      <c r="C36" s="60" t="n">
        <v>50</v>
      </c>
    </row>
    <row r="38" customFormat="false" ht="18" hidden="false" customHeight="true" outlineLevel="0" collapsed="false">
      <c r="B38" s="52" t="s">
        <v>154</v>
      </c>
      <c r="C38" s="61" t="n">
        <v>4</v>
      </c>
      <c r="D38" s="62" t="n">
        <f aca="false">$C38*$C$36</f>
        <v>200</v>
      </c>
    </row>
    <row r="39" customFormat="false" ht="18" hidden="false" customHeight="true" outlineLevel="0" collapsed="false">
      <c r="B39" s="52" t="s">
        <v>155</v>
      </c>
      <c r="C39" s="61" t="n">
        <v>7</v>
      </c>
      <c r="D39" s="62" t="n">
        <f aca="false">$C39*$C$36</f>
        <v>350</v>
      </c>
    </row>
    <row r="40" customFormat="false" ht="18" hidden="false" customHeight="true" outlineLevel="0" collapsed="false">
      <c r="B40" s="52" t="s">
        <v>156</v>
      </c>
      <c r="C40" s="61" t="n">
        <v>19</v>
      </c>
      <c r="D40" s="62" t="n">
        <f aca="false">$C40*$C$36</f>
        <v>950</v>
      </c>
    </row>
    <row r="41" customFormat="false" ht="18" hidden="false" customHeight="true" outlineLevel="0" collapsed="false">
      <c r="B41" s="52" t="s">
        <v>157</v>
      </c>
      <c r="C41" s="61" t="n">
        <v>23</v>
      </c>
      <c r="D41" s="62" t="n">
        <f aca="false">$C41*$C$36</f>
        <v>1150</v>
      </c>
    </row>
    <row r="42" customFormat="false" ht="15.75" hidden="false" customHeight="true" outlineLevel="0" collapsed="false">
      <c r="B42" s="63" t="s">
        <v>158</v>
      </c>
      <c r="C42" s="64" t="n">
        <f aca="false">SUM($C$38:$C$41)</f>
        <v>53</v>
      </c>
      <c r="D42" s="65" t="n">
        <f aca="false">SUM($D$38:$D$41)</f>
        <v>2650</v>
      </c>
    </row>
    <row r="44" customFormat="false" ht="39.75" hidden="false" customHeight="true" outlineLevel="0" collapsed="false">
      <c r="B44" s="55" t="str">
        <f aca="false">"About "&amp;TEXT($C$42,"#,##0")&amp;" hours of your own time, worth "&amp;TEXT($D$42,"$#,##0")&amp;" at the figure above — roughly "&amp;TEXT(IFERROR($D$42/79,0),"#,##0")&amp;" times the price of the finished file. And that is the first build only; every correction afterwards is yours too."</f>
        <v>About 53 hours of your own time, worth $2,650 at the figure above — roughly 34 times the price of the finished file. And that is the first build only; every correction afterwards is yours too.</v>
      </c>
      <c r="C44" s="55"/>
      <c r="D44" s="55"/>
      <c r="E44" s="55"/>
    </row>
    <row r="46" customFormat="false" ht="18.75" hidden="false" customHeight="true" outlineLevel="0" collapsed="false">
      <c r="B46" s="15" t="s">
        <v>159</v>
      </c>
      <c r="C46" s="8"/>
      <c r="D46" s="8"/>
      <c r="E46" s="8"/>
    </row>
    <row r="47" customFormat="false" ht="43.5" hidden="false" customHeight="true" outlineLevel="0" collapsed="false">
      <c r="B47" s="66" t="s">
        <v>160</v>
      </c>
      <c r="C47" s="66"/>
      <c r="D47" s="66"/>
      <c r="E47" s="66"/>
    </row>
    <row r="49" customFormat="false" ht="15.75" hidden="false" customHeight="true" outlineLevel="0" collapsed="false">
      <c r="B49" s="67" t="s">
        <v>148</v>
      </c>
      <c r="C49" s="68" t="s">
        <v>150</v>
      </c>
      <c r="D49" s="13" t="s">
        <v>161</v>
      </c>
    </row>
    <row r="51" customFormat="false" ht="30" hidden="false" customHeight="true" outlineLevel="0" collapsed="false">
      <c r="B51" s="69" t="s">
        <v>162</v>
      </c>
      <c r="C51" s="69"/>
      <c r="D51" s="69"/>
      <c r="E51" s="69"/>
    </row>
    <row r="53" customFormat="false" ht="18.75" hidden="false" customHeight="true" outlineLevel="0" collapsed="false">
      <c r="B53" s="15" t="s">
        <v>163</v>
      </c>
      <c r="C53" s="8"/>
      <c r="D53" s="8"/>
      <c r="E53" s="8"/>
    </row>
    <row r="54" customFormat="false" ht="31.5" hidden="false" customHeight="true" outlineLevel="0" collapsed="false">
      <c r="B54" s="66" t="s">
        <v>164</v>
      </c>
      <c r="C54" s="66"/>
      <c r="D54" s="66"/>
      <c r="E54" s="66"/>
    </row>
    <row r="56" customFormat="false" ht="30" hidden="false" customHeight="true" outlineLevel="0" collapsed="false">
      <c r="B56" s="69" t="s">
        <v>165</v>
      </c>
      <c r="C56" s="69"/>
      <c r="D56" s="69"/>
      <c r="E56" s="69"/>
    </row>
    <row r="58" customFormat="false" ht="27.75" hidden="false" customHeight="true" outlineLevel="0" collapsed="false">
      <c r="B58" s="70" t="s">
        <v>166</v>
      </c>
      <c r="C58" s="70"/>
      <c r="D58" s="70"/>
      <c r="E58" s="70"/>
    </row>
    <row r="60" customFormat="false" ht="15" hidden="false" customHeight="true" outlineLevel="0" collapsed="false">
      <c r="B60" s="34" t="s">
        <v>167</v>
      </c>
      <c r="C60" s="34"/>
      <c r="D60" s="34"/>
      <c r="E60" s="34"/>
    </row>
    <row r="61" customFormat="false" ht="15" hidden="false" customHeight="true" outlineLevel="0" collapsed="false">
      <c r="B61" s="34" t="s">
        <v>41</v>
      </c>
      <c r="C61" s="34"/>
      <c r="D61" s="34"/>
      <c r="E61" s="34"/>
    </row>
  </sheetData>
  <sheetProtection sheet="true" password="b7e1" objects="true" scenarios="true" formatCells="false" formatColumns="false" formatRows="false" sort="false" autoFilter="false"/>
  <mergeCells count="13">
    <mergeCell ref="B9:E9"/>
    <mergeCell ref="B10:E10"/>
    <mergeCell ref="B13:E13"/>
    <mergeCell ref="B19:E19"/>
    <mergeCell ref="B35:E35"/>
    <mergeCell ref="B44:E44"/>
    <mergeCell ref="B47:E47"/>
    <mergeCell ref="B51:E51"/>
    <mergeCell ref="B54:E54"/>
    <mergeCell ref="B56:E56"/>
    <mergeCell ref="B58:E58"/>
    <mergeCell ref="B60:E60"/>
    <mergeCell ref="B61:E61"/>
  </mergeCells>
  <hyperlinks>
    <hyperlink ref="B51" r:id="rId1" display="Click this line to open the Operational Reporting Pack on our checkout — it opens in your browser."/>
    <hyperlink ref="B56"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Operational Reporting (Free Edition)&amp;R&amp;8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2026-09-17T10:54:13Z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