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10.xml.rels" ContentType="application/vnd.openxmlformats-package.relationships+xml"/>
  <Override PartName="/xl/worksheets/_rels/sheet3.xml.rels" ContentType="application/vnd.openxmlformats-package.relationships+xml"/>
  <Override PartName="/xl/worksheets/_rels/sheet1.xml.rels" ContentType="application/vnd.openxmlformats-package.relationships+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3.xml.rels" ContentType="application/vnd.openxmlformats-package.relationships+xml"/>
  <Override PartName="/xl/drawings/_rels/drawing2.xml.rels" ContentType="application/vnd.openxmlformats-package.relationships+xml"/>
  <Override PartName="/xl/drawings/_rels/drawing1.xml.rels" ContentType="application/vnd.openxmlformats-package.relationships+xml"/>
  <Override PartName="/xl/drawings/drawing3.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ow to Use" sheetId="1" state="visible" r:id="rId3"/>
    <sheet name="Settings" sheetId="2" state="visible" r:id="rId4"/>
    <sheet name="Dashboard" sheetId="3" state="visible" r:id="rId5"/>
    <sheet name="Ingredients" sheetId="4" state="visible" r:id="rId6"/>
    <sheet name="Sub-Recipes" sheetId="5" state="visible" r:id="rId7"/>
    <sheet name="Recipes - Core" sheetId="6" state="visible" r:id="rId8"/>
    <sheet name="Recipes - Sides" sheetId="7" state="visible" r:id="rId9"/>
    <sheet name="Recipes - Beverages" sheetId="8" state="visible" r:id="rId10"/>
    <sheet name="Platform Pricing" sheetId="9" state="visible" r:id="rId11"/>
    <sheet name="What Comes Next" sheetId="10" state="visible" r:id="rId12"/>
  </sheets>
  <definedNames>
    <definedName function="false" hidden="false" localSheetId="2" name="_xlnm.Print_Area" vbProcedure="false">Dashboard!$A$1:$M$39</definedName>
    <definedName function="false" hidden="false" localSheetId="2" name="_xlnm.Print_Titles" vbProcedure="false">Dashboard!$19:$19</definedName>
    <definedName function="false" hidden="false" localSheetId="0" name="_xlnm.Print_Area" vbProcedure="false">'How to Use'!$A$1:$C$60</definedName>
    <definedName function="false" hidden="false" localSheetId="3" name="_xlnm.Print_Area" vbProcedure="false">Ingredients!$A$1:$K$47</definedName>
    <definedName function="false" hidden="false" localSheetId="3" name="_xlnm.Print_Titles" vbProcedure="false">Ingredients!$5:$5</definedName>
    <definedName function="false" hidden="false" localSheetId="8" name="_xlnm.Print_Area" vbProcedure="false">'Platform Pricing'!$A$1:$L$20</definedName>
    <definedName function="false" hidden="false" localSheetId="7" name="_xlnm.Print_Area" vbProcedure="false">'Recipes - Beverages'!$A$1:$G$59</definedName>
    <definedName function="false" hidden="false" localSheetId="5" name="_xlnm.Print_Area" vbProcedure="false">'Recipes - Core'!$A$1:$G$140</definedName>
    <definedName function="false" hidden="false" localSheetId="6" name="_xlnm.Print_Area" vbProcedure="false">'Recipes - Sides'!$A$1:$G$32</definedName>
    <definedName function="false" hidden="false" localSheetId="1" name="_xlnm.Print_Area" vbProcedure="false">Settings!$A$1:$E$35</definedName>
    <definedName function="false" hidden="false" localSheetId="4" name="_xlnm.Print_Area" vbProcedure="false">'Sub-Recipes'!$A$1:$F$39</definedName>
    <definedName function="false" hidden="false" localSheetId="9" name="_xlnm.Print_Area" vbProcedure="false">'What Comes Next'!$A$1:$E$60</definedName>
    <definedName function="false" hidden="false" name="IngredientList" vbProcedure="false">Ingredients!$A$6:$A$47</definedName>
    <definedName function="false" hidden="false" name="RawIngredientList" vbProcedure="false">Ingredients!$A$8:$A$47</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<sst xmlns="http://schemas.openxmlformats.org/spreadsheetml/2006/main" count="623" uniqueCount="347">
  <si>
    <t xml:space="preserve">Recipes and Costing - Free Edition</t>
  </si>
  <si>
    <t xml:space="preserve">The numbers behind the counter</t>
  </si>
  <si>
    <t xml:space="preserve">WHAT THIS FILE IS FOR</t>
  </si>
  <si>
    <t xml:space="preserve">The free edition of Recipes and Costing. Cost a menu properly - with yield, which is the line most costings skip and the reason most food costs are wrong by five to eight points. Forty ingredient slots, eight recipe cards and one delivery platform, so you can see exactly how it works before you buy the full file.</t>
  </si>
  <si>
    <t xml:space="preserve">WHO IT IS FOR</t>
  </si>
  <si>
    <t xml:space="preserve">Head chef</t>
  </si>
  <si>
    <t xml:space="preserve">Costs a plate honestly, including trim and cooking loss, and holds a sub-recipe in one place instead of five.</t>
  </si>
  <si>
    <t xml:space="preserve">Owner</t>
  </si>
  <si>
    <t xml:space="preserve">Shows whether a dish is priced where you think it is, and what delivery really pays.</t>
  </si>
  <si>
    <t xml:space="preserve">General manager</t>
  </si>
  <si>
    <t xml:space="preserve">Settles the delivery pricing argument with a number instead of an opinion.</t>
  </si>
  <si>
    <t xml:space="preserve">Accountant</t>
  </si>
  <si>
    <t xml:space="preserve">Gross profit worked out on the exclusive price, which is the only correct way.</t>
  </si>
  <si>
    <t xml:space="preserve">THE SHEETS IN THIS FILE</t>
  </si>
  <si>
    <t xml:space="preserve">Settings</t>
  </si>
  <si>
    <t xml:space="preserve">Your country, which sets the VAT rate, the margins you want to hold, and your five delivery platforms with their real commission.</t>
  </si>
  <si>
    <t xml:space="preserve">Dashboard</t>
  </si>
  <si>
    <t xml:space="preserve">All fifty items on one screen - counter margin, worst margin across the apps, and what to look at on anything that misses.</t>
  </si>
  <si>
    <t xml:space="preserve">Ingredients</t>
  </si>
  <si>
    <t xml:space="preserve">Five hundred slots with supplier, pack price, minimum order and yield. One place a price is stored. Your sub-recipes appear at the bottom in green.</t>
  </si>
  <si>
    <t xml:space="preserve">Sub-Recipes</t>
  </si>
  <si>
    <t xml:space="preserve">Twenty blocks for sauces, dressings, marinades and batters. Cost the batch once and every dish picks up the cost per gram.</t>
  </si>
  <si>
    <t xml:space="preserve">Recipes - Core</t>
  </si>
  <si>
    <t xml:space="preserve">Twenty-five main items, fourteen ingredient lines each.</t>
  </si>
  <si>
    <t xml:space="preserve">Recipes - Sides</t>
  </si>
  <si>
    <t xml:space="preserve">Five sides.</t>
  </si>
  <si>
    <t xml:space="preserve">Recipes - Beverages</t>
  </si>
  <si>
    <t xml:space="preserve">Twenty drinks.</t>
  </si>
  <si>
    <t xml:space="preserve">Platform Pricing</t>
  </si>
  <si>
    <t xml:space="preserve">Every price including and excluding VAT, with the whole sum shown for each platform - what they take, what you keep, and the margin.</t>
  </si>
  <si>
    <t xml:space="preserve">HOW TO USE IT</t>
  </si>
  <si>
    <t xml:space="preserve">1.  Settings: pick your country so the VAT rate is right, set the margins you want, and put in your platforms and their real commission - the effective rate, not the rate card.</t>
  </si>
  <si>
    <t xml:space="preserve">2.  Ingredients: replace the sample with your own. Pack price, what the pack contains, and the yield after trimming and waste. Yield is the one people skip - do not skip it. There are five hundred slots, so there is room for everything you buy.</t>
  </si>
  <si>
    <t xml:space="preserve">3.  Sub-Recipes: cost your sauces, dressings and marinades once. They then appear in the ingredient dropdown on every recipe card.</t>
  </si>
  <si>
    <t xml:space="preserve">4.  Recipes: name each dish and pick its ingredients from the dropdown. Fourteen lines per card, and you can insert more inside a block if a dish needs them.</t>
  </si>
  <si>
    <t xml:space="preserve">5.  Platform Pricing: type what you charge on the board and on each app, INCLUDING VAT, exactly as the customer sees it. The five columns beside each price show where the money goes.</t>
  </si>
  <si>
    <t xml:space="preserve">6.  Dashboard: read it. Anything red is an item that does not earn what you set out to earn, and the last column says what to look at.</t>
  </si>
  <si>
    <t xml:space="preserve">THE COLOUR RULE</t>
  </si>
  <si>
    <t xml:space="preserve">YELLOW cells are yours to type in. BLACK numbers are calculated - typing over one breaks the file. GREEN numbers are pulled from another sheet. GREY italic text is a note, not a number. RED means a number is outside the target you set on the Settings sheet. If you break something, download your copy again.</t>
  </si>
  <si>
    <t xml:space="preserve">CURRENCY AND VAT</t>
  </si>
  <si>
    <t xml:space="preserve">Ten currencies. This is a LABEL, not a conversion - the workbook does no exchange-rate maths. Enter every figure in one currency and keep to it. Everything is set up in AED by default.  Every figure in this workbook EXCLUDES VAT. If your point-of-sale reports gross sales, divide by one plus your VAT rate before you enter anything. Comparing gross sales against net costs is the commonest mistake in this industry and it flatters your margin by the whole VAT rate.</t>
  </si>
  <si>
    <t xml:space="preserve">WHAT THE FULL FILE ADDS</t>
  </si>
  <si>
    <t xml:space="preserve">This free edition holds forty ingredients, eight recipe cards and one delivery platform. The paid file holds five hundred ingredient slots, twenty sub-recipe blocks for sauces and batters that cost once and feed every dish, fifty recipe cards across three category sheets, five delivery platforms side by side with the full working shown, and a dashboard that reads every item back against your target margin. backofhouseco.com</t>
  </si>
  <si>
    <t xml:space="preserve">WHAT COMES NEXT</t>
  </si>
  <si>
    <t xml:space="preserve">The Menu Engineering Workbook adds the one thing this file has no way of knowing: how many of each item you actually sell. That turns a list of margins into a ranking - what to promote, what to reprice, what to protect and what to take off - and models the offers the platforms will ask you to run. backofhouseco.com</t>
  </si>
  <si>
    <t xml:space="preserve">WHAT THIS FILE ASSUMES</t>
  </si>
  <si>
    <t xml:space="preserve">-  Every COST excludes VAT, because that is how suppliers invoice. Every MENU PRICE is entered including VAT, because that is how it is displayed. Margin is worked out on the exclusive price.</t>
  </si>
  <si>
    <t xml:space="preserve">-  Yield is applied to every ingredient: usable cost is pack price divided by pack size, divided again by yield.</t>
  </si>
  <si>
    <t xml:space="preserve">-  Delivery margin is the exclusive price less commission, less that dish's packaging, less order handling, less the food cost.</t>
  </si>
  <si>
    <t xml:space="preserve">-  A sub-recipe can hold raw ingredients only, not another sub-recipe. That is deliberate - it keeps the file from chasing its own tail.</t>
  </si>
  <si>
    <t xml:space="preserve">-  The VAT rate comes from the country on Settings and can be typed over. Qatar and Kuwait charge no VAT, so there the inclusive and exclusive prices are the same figure.</t>
  </si>
  <si>
    <t xml:space="preserve">WHAT IT DOES NOT DO</t>
  </si>
  <si>
    <t xml:space="preserve">It costs and prices a menu, and tells you which items miss. It does not hold your sales mix, so it cannot tell you which items are worth promoting, protecting or deleting, and it does not model an offer or a bundle on a platform.</t>
  </si>
  <si>
    <t xml:space="preserve">TWENTY MINUTES ON THE PHONE, NO CHARGE</t>
  </si>
  <si>
    <t xml:space="preserve">If anything in this file is not clear, or your numbers are telling you something you want a second opinion on, book twenty minutes with us. There is no charge and no obligation to engage us afterwards - we would rather you used the file properly than quietly gave up on it.</t>
  </si>
  <si>
    <t xml:space="preserve">calendly.com/backofhouseco/back-of-house-introductory-call</t>
  </si>
  <si>
    <t xml:space="preserve">Back of House - food and beverage development across the Gulf and Egypt</t>
  </si>
  <si>
    <t xml:space="preserve">backofhouseco.com   .   hello@backofhouseco.com</t>
  </si>
  <si>
    <t xml:space="preserve">For the buyer's own use. Not for resale or redistribution.</t>
  </si>
  <si>
    <t xml:space="preserve">Set this sheet once. Pick your country and the VAT rate follows, set the margins you want held, and put in the delivery platforms you actually trade on.</t>
  </si>
  <si>
    <t xml:space="preserve">Country rules - used by the dropdown. Do not edit.</t>
  </si>
  <si>
    <t xml:space="preserve">YOUR OUTLET</t>
  </si>
  <si>
    <t xml:space="preserve">United Arab Emirates</t>
  </si>
  <si>
    <t xml:space="preserve">AED</t>
  </si>
  <si>
    <t xml:space="preserve">Corporate tax is 9% on profit above AED 375,000. If your revenue is under AED 3 million you may be able to elect out of it altogether under Small Business Relief - worth one question to your accountant. End-of-service is 21 days of basic wage a year. Expatriate staff carry no employer social security; UAE nationals carry 12.5%, and 15% in Abu Dhabi.</t>
  </si>
  <si>
    <t xml:space="preserve">Outlet name</t>
  </si>
  <si>
    <t xml:space="preserve">Your cafe</t>
  </si>
  <si>
    <t xml:space="preserve">Saudi Arabia</t>
  </si>
  <si>
    <t xml:space="preserve">SAR</t>
  </si>
  <si>
    <t xml:space="preserve">The 2.5% shown is zakat, which is charged on net worth rather than on profit - so treat the tax line here as an estimate, not a calculation. A non-Saudi ownership share is taxed at 20% of profit instead. End-of-service is half a month a year for the first five years. The 2% is the expatriate GOSI rate; Saudisation quotas mean part of your roster will carry the national rate of 11.75% and rising.</t>
  </si>
  <si>
    <t xml:space="preserve">Qatar</t>
  </si>
  <si>
    <t xml:space="preserve">QAR</t>
  </si>
  <si>
    <t xml:space="preserve">No corporate tax while the company is wholly owned by Qatari or GCC nationals resident in Qatar. Any foreign ownership share is taxed at 10%. End-of-service is 21 days of basic wage a year. Expatriate staff carry no employer social security; Qataris carry 14%.</t>
  </si>
  <si>
    <t xml:space="preserve">WHERE YOU TRADE  -  pick the country and the VAT rate follows</t>
  </si>
  <si>
    <t xml:space="preserve">Kuwait</t>
  </si>
  <si>
    <t xml:space="preserve">KWD</t>
  </si>
  <si>
    <t xml:space="preserve">No corporate tax while the company is wholly Kuwaiti or GCC owned. A foreign ownership share is taxed at 15%. End-of-service is 15 days of basic wage a year for the first five years. Expatriate staff carry no employer social security; Kuwaitis carry 11.5%.</t>
  </si>
  <si>
    <t xml:space="preserve">Country you trade in</t>
  </si>
  <si>
    <t xml:space="preserve">Ten markets. Everything below fills in from your choice</t>
  </si>
  <si>
    <t xml:space="preserve">Bahrain</t>
  </si>
  <si>
    <t xml:space="preserve">BHD</t>
  </si>
  <si>
    <t xml:space="preserve">No corporate tax outside oil and gas. End-of-service for expatriate staff changed in March 2024 - it is now a monthly contribution to the SIO of 4.2% for the first three years and 8.4% after that, and it is charged on the CONTRACTUAL wage, not on basic alone, so raise the figure if your basic is only part of the package. Employer work-injury cover is 3% on top. Bahraini nationals carry 18% and no gratuity.</t>
  </si>
  <si>
    <t xml:space="preserve">Oman</t>
  </si>
  <si>
    <t xml:space="preserve">OMR</t>
  </si>
  <si>
    <t xml:space="preserve">Corporate tax is 15% from the first rial. End-of-service is one month of basic wage for every year of service. The 14.5% shown is the OMANI social security rate - the position for expatriate staff is unsettled and may be nil or close to it, so confirm it with the Social Protection Fund before you budget on this line. It is the one number in this table we would not build a lease decision on.</t>
  </si>
  <si>
    <t xml:space="preserve">From your country</t>
  </si>
  <si>
    <t xml:space="preserve">Your own figure</t>
  </si>
  <si>
    <t xml:space="preserve">Used in the model</t>
  </si>
  <si>
    <t xml:space="preserve">Egypt</t>
  </si>
  <si>
    <t xml:space="preserve">EGP</t>
  </si>
  <si>
    <t xml:space="preserve">Corporate tax is 22.5%. There is no end-of-service gratuity - the funded social insurance pension replaces it, which is why the employer rate is 18.75% rather than the Gulf's nil. A turnover-based regime for businesses under EGP 20 million turnover can cost far less than 22.5% - ask about it before you file.</t>
  </si>
  <si>
    <t xml:space="preserve">Currency</t>
  </si>
  <si>
    <t xml:space="preserve">A label, not a conversion - the file does no exchange-rate maths</t>
  </si>
  <si>
    <t xml:space="preserve">Jordan</t>
  </si>
  <si>
    <t xml:space="preserve">JOD</t>
  </si>
  <si>
    <t xml:space="preserve">Corporate tax is 20% plus a 1% national contribution, so 21% all in. There is no end-of-service gratuity for staff covered by social security, which is now most of them. Employer social security is 14.25%.</t>
  </si>
  <si>
    <t xml:space="preserve">VAT on restaurant sales</t>
  </si>
  <si>
    <t xml:space="preserve">Qatar and Kuwait charge none. The USA has sales tax, not VAT - it varies by state</t>
  </si>
  <si>
    <t xml:space="preserve">United Kingdom</t>
  </si>
  <si>
    <t xml:space="preserve">GBP</t>
  </si>
  <si>
    <t xml:space="preserve">Corporate tax is 19% on profit up to GBP 50,000, tapering to 25% above GBP 250,000. There is no end-of-service accrual - statutory redundancy pay is an event, not a monthly cost. Employer National Insurance is 15% above GBP 5,000 a year per head, and the Employment Allowance may cover a large part of that for a single site. Workplace pension of at least 3% is on top and is not in this figure.</t>
  </si>
  <si>
    <t xml:space="preserve">United States</t>
  </si>
  <si>
    <t xml:space="preserve">USD</t>
  </si>
  <si>
    <t xml:space="preserve">Federal corporate tax is 21%, plus state corporate tax of roughly 1% to 10% depending where you trade - add it to the rate. There is no end-of-service accrual. The 7.65% is the employer share of FICA only; federal and state unemployment insurance is extra and runs high in restaurants because of staff turnover, so budget more than this.</t>
  </si>
  <si>
    <t xml:space="preserve">Other - not listed</t>
  </si>
  <si>
    <t xml:space="preserve">Your market is not in the list. Put your own figures in the middle column and they will be used instead. Your accountant can give you all four in five minutes.</t>
  </si>
  <si>
    <t xml:space="preserve">Pick the country and the currency and the four local rules below fill in on their own. They are a starting point set by a consultant, not tax advice - if your accountant gives you a different figure, type it in the middle column and the model will use yours instead. Rules as at 15 September 2026.</t>
  </si>
  <si>
    <t xml:space="preserve">One dropdown drives both, on purpose. If country and currency were two separate dropdowns they could disagree with each other, and a model that says Egypt in one cell and dirhams in another is a model nobody trusts. To report in a different currency from the country you trade in, type it in the middle column below - the country rules stay as they are.</t>
  </si>
  <si>
    <t xml:space="preserve">THE MARGINS YOU WANT TO HOLD</t>
  </si>
  <si>
    <t xml:space="preserve">Target gross profit % - FOOD</t>
  </si>
  <si>
    <t xml:space="preserve">65-72% is the band for food. A 65% gross profit is a 35% food cost - the same number twice</t>
  </si>
  <si>
    <t xml:space="preserve">Target gross profit % - COFFEE AND TEA</t>
  </si>
  <si>
    <t xml:space="preserve">80-88%. A cappuccino is 18 grams of beans and some milk - it should be your best margin</t>
  </si>
  <si>
    <t xml:space="preserve">Target gross profit % - JUICE AND SMOOTHIE</t>
  </si>
  <si>
    <t xml:space="preserve">Nearer 65%, not 80%. A litre of fresh orange juice takes over two kilos of fruit</t>
  </si>
  <si>
    <t xml:space="preserve">Target NET margin % on delivery</t>
  </si>
  <si>
    <t xml:space="preserve">After commission, packaging and handling. Under 30% is not worth the kitchen space</t>
  </si>
  <si>
    <t xml:space="preserve">Three targets, not one, because these three things behave completely differently. Holding a fresh juice to a cappuccino's margin will have you deleting a drink that is doing nothing wrong.</t>
  </si>
  <si>
    <t xml:space="preserve">DELIVERY PLATFORMS  -  change the names and the rates to your own</t>
  </si>
  <si>
    <t xml:space="preserve">Platform</t>
  </si>
  <si>
    <t xml:space="preserve">Name on the app</t>
  </si>
  <si>
    <t xml:space="preserve">Commission</t>
  </si>
  <si>
    <t xml:space="preserve">Platform 1</t>
  </si>
  <si>
    <t xml:space="preserve">Talabat</t>
  </si>
  <si>
    <t xml:space="preserve">Own delivery still costs you something - a driver, a fuel card, a third-party fleet fee. It is rarely free</t>
  </si>
  <si>
    <t xml:space="preserve">Order handling labour, per delivery order</t>
  </si>
  <si>
    <t xml:space="preserve">The minutes somebody spends packing it. Packaging is costed per dish on Platform Pricing</t>
  </si>
  <si>
    <t xml:space="preserve">Every COST in this file excludes VAT, because that is how your suppliers invoice you. Every MENU PRICE is entered INCLUDING VAT, because that is how it appears on the board and on the app. The file converts between the two and works out margin on the exclusive price, which is the only correct way to do it.</t>
  </si>
  <si>
    <t xml:space="preserve">Commission rates are what you have actually signed, not the rate card. Ask your account manager for the effective rate including any marketing fee - it is usually two to four points higher than people think.</t>
  </si>
  <si>
    <t xml:space="preserve">THE SUMMARY</t>
  </si>
  <si>
    <t xml:space="preserve">Items on target, counter</t>
  </si>
  <si>
    <t xml:space="preserve">Items on target, delivery</t>
  </si>
  <si>
    <t xml:space="preserve">Items losing money on an app</t>
  </si>
  <si>
    <t xml:space="preserve">Blended gross profit % on the counter</t>
  </si>
  <si>
    <t xml:space="preserve">EVERY ITEM  -  on the counter and on the apps</t>
  </si>
  <si>
    <t xml:space="preserve">Dish</t>
  </si>
  <si>
    <t xml:space="preserve">Margin group</t>
  </si>
  <si>
    <t xml:space="preserve">Cost</t>
  </si>
  <si>
    <t xml:space="preserve">Price INC VAT</t>
  </si>
  <si>
    <t xml:space="preserve">Price EX VAT</t>
  </si>
  <si>
    <t xml:space="preserve">Gross profit</t>
  </si>
  <si>
    <t xml:space="preserve">GP %</t>
  </si>
  <si>
    <t xml:space="preserve">Target</t>
  </si>
  <si>
    <t xml:space="preserve">Counter</t>
  </si>
  <si>
    <t xml:space="preserve">Worst app</t>
  </si>
  <si>
    <t xml:space="preserve">Delivery</t>
  </si>
  <si>
    <t xml:space="preserve">What to look at</t>
  </si>
  <si>
    <t xml:space="preserve">WHAT TO DO ABOUT IT</t>
  </si>
  <si>
    <t xml:space="preserve">Counter margin short</t>
  </si>
  <si>
    <t xml:space="preserve">Check the portion weight against the recipe before you touch the price - it is the cheapest fix and it is usually the answer. Then take the two dearest lines on the card and ask whether a different grade does the same job. Raise the price last, not first.</t>
  </si>
  <si>
    <t xml:space="preserve">Delivery margin short</t>
  </si>
  <si>
    <t xml:space="preserve">You have three moves. Raise the app price - 20 to 35% above the counter is normal and every competitor on that app has the same maths. Make a smaller delivery portion. Or take the item off the app. Most operators find the third one years too late.</t>
  </si>
  <si>
    <t xml:space="preserve">Losing money on an app</t>
  </si>
  <si>
    <t xml:space="preserve">Stop selling it on that app today. Then decide whether it comes back at a higher price or not at all. A loss-making line does not come right on volume - volume is what makes it expensive.</t>
  </si>
  <si>
    <t xml:space="preserve">A whole category missing</t>
  </si>
  <si>
    <t xml:space="preserve">If most of the food misses and most of the drinks clear, the problem is your food pricing, not your kitchen. If both miss, your targets on Settings may be someone else's targets rather than yours - set them from your own best months.</t>
  </si>
  <si>
    <t xml:space="preserve">There are 40 slots. 120 are filled with a UAE cafe list at real wholesale prices - type straight over them, and use the empty rows below for everything else you buy.</t>
  </si>
  <si>
    <t xml:space="preserve">Ingredient</t>
  </si>
  <si>
    <t xml:space="preserve">Supplier</t>
  </si>
  <si>
    <t xml:space="preserve">Pack size</t>
  </si>
  <si>
    <t xml:space="preserve">Unit</t>
  </si>
  <si>
    <t xml:space="preserve">Pack price</t>
  </si>
  <si>
    <t xml:space="preserve">Minimum order</t>
  </si>
  <si>
    <t xml:space="preserve">Yield %</t>
  </si>
  <si>
    <t xml:space="preserve">Cost per unit</t>
  </si>
  <si>
    <t xml:space="preserve">USABLE cost per unit</t>
  </si>
  <si>
    <t xml:space="preserve">Minimum order value</t>
  </si>
  <si>
    <t xml:space="preserve">Notes</t>
  </si>
  <si>
    <t xml:space="preserve">Sub-recipe - edit it on the Sub-Recipes sheet</t>
  </si>
  <si>
    <t xml:space="preserve">Sourdough loaf</t>
  </si>
  <si>
    <t xml:space="preserve">Daily bakery</t>
  </si>
  <si>
    <t xml:space="preserve">loaf</t>
  </si>
  <si>
    <t xml:space="preserve">Ciabatta roll</t>
  </si>
  <si>
    <t xml:space="preserve">each</t>
  </si>
  <si>
    <t xml:space="preserve">Croissant, plain</t>
  </si>
  <si>
    <t xml:space="preserve">Brioche burger bun</t>
  </si>
  <si>
    <t xml:space="preserve">Tortilla wrap 10 inch</t>
  </si>
  <si>
    <t xml:space="preserve">Arabic bread</t>
  </si>
  <si>
    <t xml:space="preserve">Pizza dough ball 250g</t>
  </si>
  <si>
    <t xml:space="preserve">Baguette</t>
  </si>
  <si>
    <t xml:space="preserve">Brioche slice</t>
  </si>
  <si>
    <t xml:space="preserve">English muffin</t>
  </si>
  <si>
    <t xml:space="preserve">Halloumi</t>
  </si>
  <si>
    <t xml:space="preserve">Dairy supplier</t>
  </si>
  <si>
    <t xml:space="preserve">g</t>
  </si>
  <si>
    <t xml:space="preserve">Cheddar, mature</t>
  </si>
  <si>
    <t xml:space="preserve">Mozzarella, block</t>
  </si>
  <si>
    <t xml:space="preserve">Parmesan</t>
  </si>
  <si>
    <t xml:space="preserve">Feta</t>
  </si>
  <si>
    <t xml:space="preserve">Labneh</t>
  </si>
  <si>
    <t xml:space="preserve">Cream cheese</t>
  </si>
  <si>
    <t xml:space="preserve">Greek yoghurt</t>
  </si>
  <si>
    <t xml:space="preserve">Butter, unsalted</t>
  </si>
  <si>
    <t xml:space="preserve">Milk, full fat</t>
  </si>
  <si>
    <t xml:space="preserve">ml</t>
  </si>
  <si>
    <t xml:space="preserve">Oat milk</t>
  </si>
  <si>
    <t xml:space="preserve">Whipping cream</t>
  </si>
  <si>
    <t xml:space="preserve">Eggs</t>
  </si>
  <si>
    <t xml:space="preserve">Chicken breast</t>
  </si>
  <si>
    <t xml:space="preserve">Butcher</t>
  </si>
  <si>
    <t xml:space="preserve">Chicken thigh, boneless</t>
  </si>
  <si>
    <t xml:space="preserve">Beef mince 80/20</t>
  </si>
  <si>
    <t xml:space="preserve">Beef striploin</t>
  </si>
  <si>
    <t xml:space="preserve">Beef topside</t>
  </si>
  <si>
    <t xml:space="preserve">Smoked turkey slices</t>
  </si>
  <si>
    <t xml:space="preserve">Turkey bacon</t>
  </si>
  <si>
    <t xml:space="preserve">Tuna, canned in water</t>
  </si>
  <si>
    <t xml:space="preserve">Dry goods</t>
  </si>
  <si>
    <t xml:space="preserve">Smoked salmon</t>
  </si>
  <si>
    <t xml:space="preserve">Avocado</t>
  </si>
  <si>
    <t xml:space="preserve">Produce market</t>
  </si>
  <si>
    <t xml:space="preserve">Tomato</t>
  </si>
  <si>
    <t xml:space="preserve">Cherry tomato</t>
  </si>
  <si>
    <t xml:space="preserve">Cos lettuce</t>
  </si>
  <si>
    <t xml:space="preserve">Mixed leaves</t>
  </si>
  <si>
    <t xml:space="preserve">Rocket leaves</t>
  </si>
  <si>
    <t xml:space="preserve">Cucumber</t>
  </si>
  <si>
    <t xml:space="preserve">Red onion</t>
  </si>
  <si>
    <t xml:space="preserve">YIELD is the line everybody skips and it is where the money hides. A kilo of juicing oranges at 6.80 yields about 450 ml of juice, so the usable cost is 15.11 a litre, not 6.80. Across a menu that is five to eight points of food cost, invisible on every invoice.</t>
  </si>
  <si>
    <t xml:space="preserve">MINIMUM ORDER is not a cost, it is a cash-flow and wastage warning. If the minimum order is more than you use before it expires, the difference is waste - negotiate a smaller pack, find a second user for it, or take the dish off.</t>
  </si>
  <si>
    <t xml:space="preserve">The GREEN block at the top is your sub-recipes - sauces, dressings, marinades, batters. They are costed on the Sub-Recipes sheet and appear here automatically, so a recipe can call for 'Burger sauce' exactly as it calls for an onion. Do not type over the green rows.</t>
  </si>
  <si>
    <t xml:space="preserve">Twenty blocks. Only raw ingredients can go in a sub-recipe - a sub-recipe cannot contain another sub-recipe, which keeps the file honest and stops a circular reference.</t>
  </si>
  <si>
    <t xml:space="preserve">SUB-RECIPE 1</t>
  </si>
  <si>
    <t xml:space="preserve">Sub-recipe name</t>
  </si>
  <si>
    <t xml:space="preserve">Burger sauce</t>
  </si>
  <si>
    <t xml:space="preserve">This batch makes</t>
  </si>
  <si>
    <t xml:space="preserve">Quantity and unit - for example 1000 and g</t>
  </si>
  <si>
    <t xml:space="preserve">Quantity</t>
  </si>
  <si>
    <t xml:space="preserve">Usable cost per unit</t>
  </si>
  <si>
    <t xml:space="preserve">Line cost</t>
  </si>
  <si>
    <t xml:space="preserve">Mayonnaise</t>
  </si>
  <si>
    <t xml:space="preserve">Ketchup</t>
  </si>
  <si>
    <t xml:space="preserve">Dijon mustard</t>
  </si>
  <si>
    <t xml:space="preserve">Pickled cucumber</t>
  </si>
  <si>
    <t xml:space="preserve">Paprika</t>
  </si>
  <si>
    <t xml:space="preserve">Black pepper, ground</t>
  </si>
  <si>
    <t xml:space="preserve">Total batch cost</t>
  </si>
  <si>
    <t xml:space="preserve">COST PER UNIT</t>
  </si>
  <si>
    <t xml:space="preserve">SUB-RECIPE 2</t>
  </si>
  <si>
    <t xml:space="preserve">Caesar dressing</t>
  </si>
  <si>
    <t xml:space="preserve">Garlic</t>
  </si>
  <si>
    <t xml:space="preserve">Lemon</t>
  </si>
  <si>
    <t xml:space="preserve">Twelve are filled in as a working example. The eight empty blocks are yours - name one and it appears in the ingredient dropdown on every recipe sheet straight away.</t>
  </si>
  <si>
    <t xml:space="preserve">Recipes  -  Core</t>
  </si>
  <si>
    <t xml:space="preserve">Each card carries its own selling price, so the moment you finish costing a dish you can see what it makes. Need more than 14 ingredient lines? Right-click a line inside the block and Insert Row - the totals pick it up on their own.</t>
  </si>
  <si>
    <t xml:space="preserve">CORE  -  ITEM 1</t>
  </si>
  <si>
    <t xml:space="preserve">Dish name</t>
  </si>
  <si>
    <t xml:space="preserve">Halloumi and Zaatar Sandwich</t>
  </si>
  <si>
    <t xml:space="preserve">Portions this recipe makes</t>
  </si>
  <si>
    <t xml:space="preserve">Set to 10 if you are costing a batch</t>
  </si>
  <si>
    <t xml:space="preserve">Food</t>
  </si>
  <si>
    <t xml:space="preserve">Sets which target this item is held to</t>
  </si>
  <si>
    <t xml:space="preserve">Ingredient or sub-recipe</t>
  </si>
  <si>
    <t xml:space="preserve">Zaatar mix</t>
  </si>
  <si>
    <t xml:space="preserve">Olive oil</t>
  </si>
  <si>
    <t xml:space="preserve">Total recipe cost</t>
  </si>
  <si>
    <t xml:space="preserve">COST PER PORTION</t>
  </si>
  <si>
    <t xml:space="preserve">SELLING PRICE  (including VAT)</t>
  </si>
  <si>
    <t xml:space="preserve">What you charge on the board</t>
  </si>
  <si>
    <t xml:space="preserve">Selling price excluding VAT</t>
  </si>
  <si>
    <t xml:space="preserve">Margin is worked out on this figure</t>
  </si>
  <si>
    <t xml:space="preserve">Food cost</t>
  </si>
  <si>
    <t xml:space="preserve">GROSS PROFIT</t>
  </si>
  <si>
    <t xml:space="preserve">CORE  -  ITEM 2</t>
  </si>
  <si>
    <t xml:space="preserve">Chicken Avocado Sandwich</t>
  </si>
  <si>
    <t xml:space="preserve">CORE  -  ITEM 3</t>
  </si>
  <si>
    <t xml:space="preserve">Smoked Turkey Club</t>
  </si>
  <si>
    <t xml:space="preserve">CORE  -  ITEM 4</t>
  </si>
  <si>
    <t xml:space="preserve">Labneh and Cucumber Croissant</t>
  </si>
  <si>
    <t xml:space="preserve">CORE  -  ITEM 5</t>
  </si>
  <si>
    <t xml:space="preserve">Tuna Melt Sandwich</t>
  </si>
  <si>
    <t xml:space="preserve">Recipes  -  Sides</t>
  </si>
  <si>
    <t xml:space="preserve">SIDES  -  ITEM 1</t>
  </si>
  <si>
    <t xml:space="preserve">French Fries</t>
  </si>
  <si>
    <t xml:space="preserve">Potato, frying grade</t>
  </si>
  <si>
    <t xml:space="preserve">Frying oil</t>
  </si>
  <si>
    <t xml:space="preserve">Sea salt</t>
  </si>
  <si>
    <t xml:space="preserve">Recipes  -  Beverages</t>
  </si>
  <si>
    <t xml:space="preserve">BEVERAGES  -  ITEM 1</t>
  </si>
  <si>
    <t xml:space="preserve">Espresso</t>
  </si>
  <si>
    <t xml:space="preserve">Coffee &amp; Tea</t>
  </si>
  <si>
    <t xml:space="preserve">Espresso beans</t>
  </si>
  <si>
    <t xml:space="preserve">Paper cup 4oz and lid</t>
  </si>
  <si>
    <t xml:space="preserve">BEVERAGES  -  ITEM 2</t>
  </si>
  <si>
    <t xml:space="preserve">Double Espresso</t>
  </si>
  <si>
    <t xml:space="preserve">Each platform gets eight columns so you can see exactly where the money goes, in money AND as a percentage of the sale. Only the blue Price INC VAT column is typed - everything to the right of it works itself out.</t>
  </si>
  <si>
    <t xml:space="preserve">A delivery price is normally 20-35% above the counter price. That is not greed - the platform takes a quarter to a third of it before you see a fils.</t>
  </si>
  <si>
    <t xml:space="preserve">ON THE COUNTER</t>
  </si>
  <si>
    <t xml:space="preserve">Cost per portion</t>
  </si>
  <si>
    <t xml:space="preserve">Packaging</t>
  </si>
  <si>
    <t xml:space="preserve">Platform takes</t>
  </si>
  <si>
    <t xml:space="preserve">% of sale</t>
  </si>
  <si>
    <t xml:space="preserve">Your costs</t>
  </si>
  <si>
    <t xml:space="preserve">You keep</t>
  </si>
  <si>
    <t xml:space="preserve">Margin %</t>
  </si>
  <si>
    <t xml:space="preserve">The sum, left to right, for every platform: the price on the app, that price without VAT, what the platform takes, then Your costs - this dish's food cost plus its packaging plus the order handling labour from Settings. What is left is yours. Every money column has its percentage beside it, all worked out on the price EXCLUDING VAT, so Platform takes % plus Your costs % plus Margin % always comes to 100.</t>
  </si>
  <si>
    <t xml:space="preserve">A red figure in You keep means that dish LOSES money on that platform. It is not a rounding problem - every order of it makes you poorer, and volume makes it worse, not better.</t>
  </si>
  <si>
    <t xml:space="preserve">Own delivery is in the list on purpose. Put your real cost in - a driver's wage spread over the orders he actually does, or the fleet fee. It is almost never free, and comparing it honestly against the apps is the whole point.</t>
  </si>
  <si>
    <t xml:space="preserve">What comes next</t>
  </si>
  <si>
    <t xml:space="preserve">Recipes and Costing — Free Edition</t>
  </si>
  <si>
    <t xml:space="preserve">WHAT THIS FILE FOUND IN YOUR NUMBERS</t>
  </si>
  <si>
    <t xml:space="preserve">Calculated from what you typed. Not an estimate, not an average.</t>
  </si>
  <si>
    <t xml:space="preserve">Dishes costed</t>
  </si>
  <si>
    <t xml:space="preserve">Below counter margin target</t>
  </si>
  <si>
    <t xml:space="preserve">Below delivery margin target</t>
  </si>
  <si>
    <t xml:space="preserve">Losing money on a delivery app</t>
  </si>
  <si>
    <t xml:space="preserve">FREE EDITION AND FULL VERSION, SIDE BY SIDE</t>
  </si>
  <si>
    <t xml:space="preserve">Free edition</t>
  </si>
  <si>
    <t xml:space="preserve">Full version</t>
  </si>
  <si>
    <t xml:space="preserve">Ingredient slots</t>
  </si>
  <si>
    <t xml:space="preserve">40</t>
  </si>
  <si>
    <t xml:space="preserve">500</t>
  </si>
  <si>
    <t xml:space="preserve">Recipe cards</t>
  </si>
  <si>
    <t xml:space="preserve">8</t>
  </si>
  <si>
    <t xml:space="preserve">50</t>
  </si>
  <si>
    <t xml:space="preserve">Sub-recipes — sauces, doughs, mixes</t>
  </si>
  <si>
    <t xml:space="preserve">2</t>
  </si>
  <si>
    <t xml:space="preserve">20</t>
  </si>
  <si>
    <t xml:space="preserve">Delivery platforms priced</t>
  </si>
  <si>
    <t xml:space="preserve">1</t>
  </si>
  <si>
    <t xml:space="preserve">5</t>
  </si>
  <si>
    <t xml:space="preserve">Yield on every line</t>
  </si>
  <si>
    <t xml:space="preserve">Yes</t>
  </si>
  <si>
    <t xml:space="preserve">One supplier change re-costs every dish</t>
  </si>
  <si>
    <t xml:space="preserve">Formulas you can read and adapt</t>
  </si>
  <si>
    <t xml:space="preserve">Hidden</t>
  </si>
  <si>
    <t xml:space="preserve">Visible</t>
  </si>
  <si>
    <t xml:space="preserve">Price</t>
  </si>
  <si>
    <t xml:space="preserve">Free</t>
  </si>
  <si>
    <t xml:space="preserve">USD 79</t>
  </si>
  <si>
    <t xml:space="preserve">OR BUILD IT YOURSELF</t>
  </si>
  <si>
    <t xml:space="preserve">Put your own hourly value in the yellow cell. The rest is arithmetic.</t>
  </si>
  <si>
    <t xml:space="preserve">What an hour of your time is worth  (USD)</t>
  </si>
  <si>
    <t xml:space="preserve">Build a 500-line ingredient list with pack sizes and usable cost after yield</t>
  </si>
  <si>
    <t xml:space="preserve">Build 50 cards that pull unit and cost from one place</t>
  </si>
  <si>
    <t xml:space="preserve">Build 20 sub-recipes without circular references</t>
  </si>
  <si>
    <t xml:space="preserve">Build platform pricing for five apps, and test the cent-level errors</t>
  </si>
  <si>
    <t xml:space="preserve">TOTAL</t>
  </si>
  <si>
    <t xml:space="preserve">THE FULL VERSION</t>
  </si>
  <si>
    <t xml:space="preserve">Five hundred ingredients, fifty recipe cards, twenty sub-recipes and five delivery platforms. One shared ingredient list behind all of it, so changing a supplier price once re-costs every dish that uses it.</t>
  </si>
  <si>
    <t xml:space="preserve">One payment, yours to keep</t>
  </si>
  <si>
    <t xml:space="preserve">Click this line to open Recipes and Costing on our checkout — it opens in your browser.</t>
  </si>
  <si>
    <t xml:space="preserve">OR TALK TO SOMEBODY FIRST</t>
  </si>
  <si>
    <t xml:space="preserve">If you would rather ask a question than buy a file, book twenty minutes. There is no charge and no obligation to engage us afterwards — we would rather you used this file properly than quietly gave up on it.</t>
  </si>
  <si>
    <t xml:space="preserve">Click this line to book twenty minutes with us, free of charge.</t>
  </si>
  <si>
    <t xml:space="preserve">Eight dishes is enough to find out whether costing with yield tells you something your old method did not.</t>
  </si>
  <si>
    <t xml:space="preserve">Back of House — the numbers behind the counter</t>
  </si>
</sst>
</file>

<file path=xl/styles.xml><?xml version="1.0" encoding="utf-8"?>
<styleSheet xmlns="http://schemas.openxmlformats.org/spreadsheetml/2006/main">
  <numFmts count="8">
    <numFmt numFmtId="164" formatCode="General"/>
    <numFmt numFmtId="165" formatCode="@"/>
    <numFmt numFmtId="166" formatCode="0.0%"/>
    <numFmt numFmtId="167" formatCode="#,##0.00;\(#,##0.00\);\-"/>
    <numFmt numFmtId="168" formatCode="#,##0.###;\(#,##0.###\);\-"/>
    <numFmt numFmtId="169" formatCode="#,##0.000;\(#,##0.000\);\-"/>
    <numFmt numFmtId="170" formatCode="#,##0;\(#,##0\);\-"/>
    <numFmt numFmtId="171" formatCode="#,##0&quot; hours&quot;"/>
  </numFmts>
  <fonts count="38">
    <font>
      <sz val="11"/>
      <color theme="1"/>
      <name val="Calibri"/>
      <family val="2"/>
      <charset val="1"/>
    </font>
    <font>
      <sz val="10"/>
      <name val="Arial"/>
      <family val="0"/>
    </font>
    <font>
      <sz val="10"/>
      <name val="Arial"/>
      <family val="0"/>
    </font>
    <font>
      <sz val="10"/>
      <name val="Arial"/>
      <family val="0"/>
    </font>
    <font>
      <b val="true"/>
      <sz val="18"/>
      <color rgb="FF1C2B33"/>
      <name val="Arial"/>
      <family val="0"/>
      <charset val="1"/>
    </font>
    <font>
      <i val="true"/>
      <sz val="10"/>
      <color rgb="FF6B6157"/>
      <name val="Arial"/>
      <family val="0"/>
      <charset val="1"/>
    </font>
    <font>
      <b val="true"/>
      <sz val="10"/>
      <color rgb="FF1C2B33"/>
      <name val="Arial"/>
      <family val="0"/>
      <charset val="1"/>
    </font>
    <font>
      <sz val="10"/>
      <color rgb="FF1C2B33"/>
      <name val="Arial"/>
      <family val="0"/>
      <charset val="1"/>
    </font>
    <font>
      <b val="true"/>
      <sz val="10"/>
      <color rgb="FF9A7B4F"/>
      <name val="Arial"/>
      <family val="0"/>
      <charset val="1"/>
    </font>
    <font>
      <b val="true"/>
      <sz val="11"/>
      <color rgb="FF1C2B33"/>
      <name val="Arial"/>
      <family val="0"/>
      <charset val="1"/>
    </font>
    <font>
      <b val="true"/>
      <sz val="12"/>
      <color rgb="FF9A7B4F"/>
      <name val="Arial"/>
      <family val="0"/>
      <charset val="1"/>
    </font>
    <font>
      <i val="true"/>
      <sz val="9"/>
      <color rgb="FF6B6157"/>
      <name val="Arial"/>
      <family val="0"/>
      <charset val="1"/>
    </font>
    <font>
      <i val="true"/>
      <sz val="8"/>
      <color rgb="FF9A9186"/>
      <name val="Arial"/>
      <family val="0"/>
      <charset val="1"/>
    </font>
    <font>
      <b val="true"/>
      <sz val="15"/>
      <color rgb="FF1C2B33"/>
      <name val="Arial"/>
      <family val="0"/>
      <charset val="1"/>
    </font>
    <font>
      <sz val="8"/>
      <color rgb="FF9A9186"/>
      <name val="Arial"/>
      <family val="0"/>
      <charset val="1"/>
    </font>
    <font>
      <sz val="10"/>
      <color rgb="FF0000FF"/>
      <name val="Arial"/>
      <family val="0"/>
      <charset val="1"/>
    </font>
    <font>
      <b val="true"/>
      <sz val="11"/>
      <color rgb="FF0000FF"/>
      <name val="Arial"/>
      <family val="0"/>
      <charset val="1"/>
    </font>
    <font>
      <b val="true"/>
      <sz val="9"/>
      <color rgb="FFFFFFFF"/>
      <name val="Arial"/>
      <family val="0"/>
      <charset val="1"/>
    </font>
    <font>
      <sz val="10"/>
      <color rgb="FF008000"/>
      <name val="Arial"/>
      <family val="0"/>
      <charset val="1"/>
    </font>
    <font>
      <i val="true"/>
      <sz val="9"/>
      <color rgb="FF1C2B33"/>
      <name val="Arial"/>
      <family val="0"/>
      <charset val="1"/>
    </font>
    <font>
      <b val="true"/>
      <sz val="16"/>
      <color rgb="FF9A7B4F"/>
      <name val="Arial"/>
      <family val="0"/>
      <charset val="1"/>
    </font>
    <font>
      <sz val="11"/>
      <color rgb="FF1C2B33"/>
      <name val="Arial"/>
      <family val="0"/>
      <charset val="1"/>
    </font>
    <font>
      <sz val="10"/>
      <color rgb="FF6B6157"/>
      <name val="Arial"/>
      <family val="0"/>
      <charset val="1"/>
    </font>
    <font>
      <sz val="9"/>
      <color rgb="FFA03030"/>
      <name val="Arial"/>
      <family val="0"/>
      <charset val="1"/>
    </font>
    <font>
      <sz val="9"/>
      <color rgb="FF1C2B33"/>
      <name val="Arial"/>
      <family val="0"/>
      <charset val="1"/>
    </font>
    <font>
      <b val="true"/>
      <sz val="10"/>
      <color rgb="FF008000"/>
      <name val="Arial"/>
      <family val="0"/>
      <charset val="1"/>
    </font>
    <font>
      <i val="true"/>
      <sz val="8"/>
      <color rgb="FF1E6B2E"/>
      <name val="Arial"/>
      <family val="0"/>
      <charset val="1"/>
    </font>
    <font>
      <b val="true"/>
      <sz val="13"/>
      <color rgb="FF9A7B4F"/>
      <name val="Arial"/>
      <family val="0"/>
      <charset val="1"/>
    </font>
    <font>
      <b val="true"/>
      <sz val="14"/>
      <color rgb="FF9A7B4F"/>
      <name val="Arial"/>
      <family val="0"/>
      <charset val="1"/>
    </font>
    <font>
      <b val="true"/>
      <sz val="12"/>
      <color rgb="FF0000FF"/>
      <name val="Arial"/>
      <family val="0"/>
      <charset val="1"/>
    </font>
    <font>
      <b val="true"/>
      <sz val="9"/>
      <color rgb="FF9A7B4F"/>
      <name val="Arial"/>
      <family val="0"/>
      <charset val="1"/>
    </font>
    <font>
      <sz val="10"/>
      <color rgb="FFA03030"/>
      <name val="Arial"/>
      <family val="0"/>
      <charset val="1"/>
    </font>
    <font>
      <b val="true"/>
      <sz val="12"/>
      <color rgb="FF1C2B33"/>
      <name val="Arial"/>
      <family val="0"/>
      <charset val="1"/>
    </font>
    <font>
      <b val="true"/>
      <sz val="11"/>
      <color rgb="FF9A7B4F"/>
      <name val="Arial"/>
      <family val="0"/>
      <charset val="1"/>
    </font>
    <font>
      <b val="true"/>
      <sz val="13"/>
      <color rgb="FFA03030"/>
      <name val="Arial"/>
      <family val="0"/>
      <charset val="1"/>
    </font>
    <font>
      <b val="true"/>
      <sz val="13"/>
      <color rgb="FF1C2B33"/>
      <name val="Arial"/>
      <family val="0"/>
      <charset val="1"/>
    </font>
    <font>
      <b val="true"/>
      <u val="single"/>
      <sz val="11"/>
      <color rgb="FF1155CC"/>
      <name val="Arial"/>
      <family val="0"/>
      <charset val="1"/>
    </font>
    <font>
      <i val="true"/>
      <sz val="10"/>
      <color rgb="FF1C2B33"/>
      <name val="Arial"/>
      <family val="0"/>
      <charset val="1"/>
    </font>
  </fonts>
  <fills count="7">
    <fill>
      <patternFill patternType="none"/>
    </fill>
    <fill>
      <patternFill patternType="gray125"/>
    </fill>
    <fill>
      <patternFill patternType="solid">
        <fgColor rgb="FFEDE7DD"/>
        <bgColor rgb="FFFBE4E4"/>
      </patternFill>
    </fill>
    <fill>
      <patternFill patternType="solid">
        <fgColor rgb="FFFFF4CC"/>
        <bgColor rgb="FFF5F1EA"/>
      </patternFill>
    </fill>
    <fill>
      <patternFill patternType="solid">
        <fgColor rgb="FF1C2B33"/>
        <bgColor rgb="FF333300"/>
      </patternFill>
    </fill>
    <fill>
      <patternFill patternType="solid">
        <fgColor rgb="FFDCEDDC"/>
        <bgColor rgb="FFEDE7DD"/>
      </patternFill>
    </fill>
    <fill>
      <patternFill patternType="solid">
        <fgColor rgb="FFF5F1EA"/>
        <bgColor rgb="FFEDE7DD"/>
      </patternFill>
    </fill>
  </fills>
  <borders count="8">
    <border diagonalUp="false" diagonalDown="false">
      <left/>
      <right/>
      <top/>
      <bottom/>
      <diagonal/>
    </border>
    <border diagonalUp="false" diagonalDown="false">
      <left/>
      <right/>
      <top/>
      <bottom style="thin">
        <color rgb="FF1C2B33"/>
      </bottom>
      <diagonal/>
    </border>
    <border diagonalUp="false" diagonalDown="false">
      <left style="thin">
        <color rgb="FFC9C0B4"/>
      </left>
      <right style="thin">
        <color rgb="FFC9C0B4"/>
      </right>
      <top style="thin">
        <color rgb="FFC9C0B4"/>
      </top>
      <bottom style="thin">
        <color rgb="FFC9C0B4"/>
      </bottom>
      <diagonal/>
    </border>
    <border diagonalUp="false" diagonalDown="false">
      <left/>
      <right/>
      <top/>
      <bottom style="thin">
        <color rgb="FFC9C0B4"/>
      </bottom>
      <diagonal/>
    </border>
    <border diagonalUp="false" diagonalDown="false">
      <left style="thin">
        <color rgb="FFC9C0B4"/>
      </left>
      <right style="thin">
        <color rgb="FFC9C0B4"/>
      </right>
      <top/>
      <bottom style="thin">
        <color rgb="FFC9C0B4"/>
      </bottom>
      <diagonal/>
    </border>
    <border diagonalUp="false" diagonalDown="false">
      <left/>
      <right/>
      <top style="thin">
        <color rgb="FFC9C0B4"/>
      </top>
      <bottom/>
      <diagonal/>
    </border>
    <border diagonalUp="false" diagonalDown="false">
      <left/>
      <right/>
      <top style="thin">
        <color rgb="FF1C2B33"/>
      </top>
      <bottom/>
      <diagonal/>
    </border>
    <border diagonalUp="false" diagonalDown="false">
      <left/>
      <right/>
      <top style="thin">
        <color rgb="FF1C2B33"/>
      </top>
      <bottom style="thin">
        <color rgb="FF1C2B33"/>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18">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top"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false" indent="0" shrinkToFit="false"/>
      <protection locked="true" hidden="false"/>
    </xf>
    <xf numFmtId="164" fontId="9" fillId="2" borderId="1" xfId="0" applyFont="true" applyBorder="true" applyAlignment="true" applyProtection="false">
      <alignment horizontal="general" vertical="bottom" textRotation="0" wrapText="false" indent="0" shrinkToFit="false"/>
      <protection locked="true" hidden="false"/>
    </xf>
    <xf numFmtId="164" fontId="0" fillId="2" borderId="1" xfId="0" applyFont="false" applyBorder="true" applyAlignment="tru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top" textRotation="0" wrapText="true" indent="0" shrinkToFit="false"/>
      <protection locked="true" hidden="false"/>
    </xf>
    <xf numFmtId="164" fontId="12" fillId="0" borderId="0" xfId="0" applyFont="true" applyBorder="false" applyAlignment="true" applyProtection="false">
      <alignment horizontal="general" vertical="top" textRotation="0" wrapText="true" indent="0" shrinkToFit="false"/>
      <protection locked="true" hidden="false"/>
    </xf>
    <xf numFmtId="164" fontId="13" fillId="0" borderId="0" xfId="0" applyFont="true" applyBorder="false" applyAlignment="true" applyProtection="false">
      <alignment horizontal="general" vertical="bottom" textRotation="0" wrapText="false" indent="0" shrinkToFit="false"/>
      <protection locked="true" hidden="false"/>
    </xf>
    <xf numFmtId="164" fontId="11" fillId="0" borderId="0" xfId="0" applyFont="true" applyBorder="true" applyAlignment="true" applyProtection="false">
      <alignment horizontal="general" vertical="top" textRotation="0" wrapText="true" indent="0" shrinkToFit="false"/>
      <protection locked="true" hidden="false"/>
    </xf>
    <xf numFmtId="164" fontId="12" fillId="0" borderId="0" xfId="0" applyFont="true" applyBorder="false" applyAlignment="true" applyProtection="false">
      <alignment horizontal="general" vertical="bottom" textRotation="0" wrapText="false" indent="0" shrinkToFit="false"/>
      <protection locked="true" hidden="false"/>
    </xf>
    <xf numFmtId="164" fontId="6" fillId="2" borderId="1" xfId="0" applyFont="true" applyBorder="true" applyAlignment="true" applyProtection="false">
      <alignment horizontal="general" vertical="bottom" textRotation="0" wrapText="false" indent="0" shrinkToFit="false"/>
      <protection locked="true" hidden="false"/>
    </xf>
    <xf numFmtId="164" fontId="14" fillId="0"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5" fontId="15" fillId="3" borderId="2" xfId="0" applyFont="true" applyBorder="true" applyAlignment="true" applyProtection="true">
      <alignment horizontal="general" vertical="bottom" textRotation="0" wrapText="false" indent="0" shrinkToFit="false"/>
      <protection locked="fals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5" fontId="16" fillId="3" borderId="2" xfId="0" applyFont="true" applyBorder="true" applyAlignment="true" applyProtection="true">
      <alignment horizontal="general" vertical="bottom" textRotation="0" wrapText="false" indent="0" shrinkToFit="false"/>
      <protection locked="false" hidden="false"/>
    </xf>
    <xf numFmtId="164" fontId="11" fillId="0" borderId="0" xfId="0" applyFont="true" applyBorder="false" applyAlignment="true" applyProtection="false">
      <alignment horizontal="general" vertical="bottom" textRotation="0" wrapText="false" indent="0" shrinkToFit="false"/>
      <protection locked="true" hidden="false"/>
    </xf>
    <xf numFmtId="164" fontId="0" fillId="4" borderId="1" xfId="0" applyFont="false" applyBorder="true" applyAlignment="true" applyProtection="false">
      <alignment horizontal="general" vertical="bottom" textRotation="0" wrapText="false" indent="0" shrinkToFit="false"/>
      <protection locked="true" hidden="false"/>
    </xf>
    <xf numFmtId="164" fontId="17" fillId="4" borderId="1" xfId="0" applyFont="true" applyBorder="true" applyAlignment="true" applyProtection="false">
      <alignment horizontal="center" vertical="bottom" textRotation="0" wrapText="false" indent="0" shrinkToFit="false"/>
      <protection locked="true" hidden="false"/>
    </xf>
    <xf numFmtId="164" fontId="7" fillId="0" borderId="3" xfId="0" applyFont="true" applyBorder="true" applyAlignment="true" applyProtection="false">
      <alignment horizontal="general" vertical="bottom" textRotation="0" wrapText="false" indent="0" shrinkToFit="false"/>
      <protection locked="true" hidden="false"/>
    </xf>
    <xf numFmtId="165" fontId="18" fillId="0" borderId="3" xfId="0" applyFont="true" applyBorder="true" applyAlignment="true" applyProtection="true">
      <alignment horizontal="general" vertical="bottom" textRotation="0" wrapText="false" indent="0" shrinkToFit="false"/>
      <protection locked="true" hidden="true"/>
    </xf>
    <xf numFmtId="165" fontId="15" fillId="3" borderId="3" xfId="0" applyFont="true" applyBorder="true" applyAlignment="true" applyProtection="true">
      <alignment horizontal="general" vertical="bottom" textRotation="0" wrapText="false" indent="0" shrinkToFit="false"/>
      <protection locked="false" hidden="false"/>
    </xf>
    <xf numFmtId="165" fontId="6" fillId="0" borderId="3" xfId="0" applyFont="true" applyBorder="true" applyAlignment="true" applyProtection="true">
      <alignment horizontal="center" vertical="bottom" textRotation="0" wrapText="false" indent="0" shrinkToFit="false"/>
      <protection locked="true" hidden="true"/>
    </xf>
    <xf numFmtId="166" fontId="18" fillId="0" borderId="3" xfId="0" applyFont="true" applyBorder="true" applyAlignment="true" applyProtection="true">
      <alignment horizontal="general" vertical="bottom" textRotation="0" wrapText="false" indent="0" shrinkToFit="false"/>
      <protection locked="true" hidden="true"/>
    </xf>
    <xf numFmtId="166" fontId="15" fillId="3" borderId="3" xfId="0" applyFont="true" applyBorder="true" applyAlignment="true" applyProtection="true">
      <alignment horizontal="general" vertical="bottom" textRotation="0" wrapText="false" indent="0" shrinkToFit="false"/>
      <protection locked="false" hidden="false"/>
    </xf>
    <xf numFmtId="166" fontId="6" fillId="0" borderId="3" xfId="0" applyFont="true" applyBorder="true" applyAlignment="true" applyProtection="true">
      <alignment horizontal="center" vertical="bottom" textRotation="0" wrapText="false" indent="0" shrinkToFit="false"/>
      <protection locked="true" hidden="true"/>
    </xf>
    <xf numFmtId="164" fontId="19" fillId="0" borderId="0" xfId="0" applyFont="true" applyBorder="true" applyAlignment="true" applyProtection="true">
      <alignment horizontal="general" vertical="top" textRotation="0" wrapText="true" indent="0" shrinkToFit="false"/>
      <protection locked="true" hidden="true"/>
    </xf>
    <xf numFmtId="166" fontId="15" fillId="3" borderId="2" xfId="0" applyFont="true" applyBorder="true" applyAlignment="true" applyProtection="true">
      <alignment horizontal="general" vertical="bottom" textRotation="0" wrapText="false" indent="0" shrinkToFit="false"/>
      <protection locked="false" hidden="false"/>
    </xf>
    <xf numFmtId="164" fontId="17" fillId="4" borderId="1" xfId="0" applyFont="true" applyBorder="true" applyAlignment="true" applyProtection="false">
      <alignment horizontal="left" vertical="bottom" textRotation="0" wrapText="true" indent="0" shrinkToFit="false"/>
      <protection locked="true" hidden="false"/>
    </xf>
    <xf numFmtId="164" fontId="17" fillId="4" borderId="1" xfId="0" applyFont="true" applyBorder="true" applyAlignment="true" applyProtection="false">
      <alignment horizontal="center" vertical="bottom" textRotation="0" wrapText="true" indent="0" shrinkToFit="false"/>
      <protection locked="true" hidden="false"/>
    </xf>
    <xf numFmtId="167" fontId="15" fillId="3" borderId="2" xfId="0" applyFont="true" applyBorder="true" applyAlignment="true" applyProtection="true">
      <alignment horizontal="general" vertical="bottom" textRotation="0" wrapText="false" indent="0" shrinkToFit="false"/>
      <protection locked="false" hidden="false"/>
    </xf>
    <xf numFmtId="164" fontId="4" fillId="0" borderId="0" xfId="0" applyFont="true" applyBorder="false" applyAlignment="true" applyProtection="true">
      <alignment horizontal="general" vertical="bottom" textRotation="0" wrapText="false" indent="0" shrinkToFit="false"/>
      <protection locked="true" hidden="true"/>
    </xf>
    <xf numFmtId="164" fontId="11" fillId="0" borderId="0" xfId="0" applyFont="true" applyBorder="false" applyAlignment="true" applyProtection="true">
      <alignment horizontal="general" vertical="bottom" textRotation="0" wrapText="false" indent="0" shrinkToFit="false"/>
      <protection locked="true" hidden="true"/>
    </xf>
    <xf numFmtId="164" fontId="9" fillId="0" borderId="0" xfId="0" applyFont="true" applyBorder="false" applyAlignment="true" applyProtection="false">
      <alignment horizontal="general" vertical="bottom" textRotation="0" wrapText="false" indent="0" shrinkToFit="false"/>
      <protection locked="true" hidden="false"/>
    </xf>
    <xf numFmtId="165" fontId="20" fillId="0" borderId="0" xfId="0" applyFont="true" applyBorder="false" applyAlignment="true" applyProtection="true">
      <alignment horizontal="general" vertical="bottom" textRotation="0" wrapText="false" indent="0" shrinkToFit="false"/>
      <protection locked="true" hidden="true"/>
    </xf>
    <xf numFmtId="166" fontId="20" fillId="0" borderId="0" xfId="0" applyFont="true" applyBorder="false" applyAlignment="true" applyProtection="true">
      <alignment horizontal="general" vertical="bottom" textRotation="0" wrapText="false" indent="0" shrinkToFit="false"/>
      <protection locked="true" hidden="true"/>
    </xf>
    <xf numFmtId="164" fontId="21" fillId="0" borderId="0" xfId="0" applyFont="true" applyBorder="true" applyAlignment="true" applyProtection="true">
      <alignment horizontal="general" vertical="bottom" textRotation="0" wrapText="false" indent="0" shrinkToFit="false"/>
      <protection locked="true" hidden="true"/>
    </xf>
    <xf numFmtId="165" fontId="7" fillId="0" borderId="3" xfId="0" applyFont="true" applyBorder="true" applyAlignment="true" applyProtection="true">
      <alignment horizontal="general" vertical="top" textRotation="0" wrapText="false" indent="0" shrinkToFit="false"/>
      <protection locked="true" hidden="true"/>
    </xf>
    <xf numFmtId="165" fontId="18" fillId="0" borderId="3" xfId="0" applyFont="true" applyBorder="true" applyAlignment="true" applyProtection="true">
      <alignment horizontal="center" vertical="top" textRotation="0" wrapText="false" indent="0" shrinkToFit="false"/>
      <protection locked="true" hidden="true"/>
    </xf>
    <xf numFmtId="167" fontId="18" fillId="0" borderId="3" xfId="0" applyFont="true" applyBorder="true" applyAlignment="true" applyProtection="true">
      <alignment horizontal="general" vertical="top" textRotation="0" wrapText="false" indent="0" shrinkToFit="false"/>
      <protection locked="true" hidden="true"/>
    </xf>
    <xf numFmtId="167" fontId="7" fillId="0" borderId="3" xfId="0" applyFont="true" applyBorder="true" applyAlignment="true" applyProtection="true">
      <alignment horizontal="general" vertical="top" textRotation="0" wrapText="false" indent="0" shrinkToFit="false"/>
      <protection locked="true" hidden="true"/>
    </xf>
    <xf numFmtId="167" fontId="6" fillId="0" borderId="3" xfId="0" applyFont="true" applyBorder="true" applyAlignment="true" applyProtection="true">
      <alignment horizontal="general" vertical="top" textRotation="0" wrapText="false" indent="0" shrinkToFit="false"/>
      <protection locked="true" hidden="true"/>
    </xf>
    <xf numFmtId="166" fontId="6" fillId="0" borderId="3" xfId="0" applyFont="true" applyBorder="true" applyAlignment="true" applyProtection="true">
      <alignment horizontal="general" vertical="top" textRotation="0" wrapText="false" indent="0" shrinkToFit="false"/>
      <protection locked="true" hidden="true"/>
    </xf>
    <xf numFmtId="166" fontId="22" fillId="0" borderId="3" xfId="0" applyFont="true" applyBorder="true" applyAlignment="true" applyProtection="true">
      <alignment horizontal="general" vertical="top" textRotation="0" wrapText="false" indent="0" shrinkToFit="false"/>
      <protection locked="true" hidden="true"/>
    </xf>
    <xf numFmtId="165" fontId="6" fillId="0" borderId="3" xfId="0" applyFont="true" applyBorder="true" applyAlignment="true" applyProtection="true">
      <alignment horizontal="center" vertical="top" textRotation="0" wrapText="false" indent="0" shrinkToFit="false"/>
      <protection locked="true" hidden="true"/>
    </xf>
    <xf numFmtId="165" fontId="23" fillId="0" borderId="3" xfId="0" applyFont="true" applyBorder="true" applyAlignment="true" applyProtection="true">
      <alignment horizontal="general" vertical="top" textRotation="0" wrapText="true" indent="0" shrinkToFit="false"/>
      <protection locked="true" hidden="true"/>
    </xf>
    <xf numFmtId="164" fontId="8" fillId="0" borderId="0" xfId="0" applyFont="true" applyBorder="false" applyAlignment="true" applyProtection="false">
      <alignment horizontal="general" vertical="bottom" textRotation="0" wrapText="false" indent="0" shrinkToFit="false"/>
      <protection locked="true" hidden="false"/>
    </xf>
    <xf numFmtId="164" fontId="24" fillId="0" borderId="0" xfId="0" applyFont="true" applyBorder="true" applyAlignment="true" applyProtection="false">
      <alignment horizontal="general" vertical="top" textRotation="0" wrapText="true" indent="0" shrinkToFit="false"/>
      <protection locked="true" hidden="false"/>
    </xf>
    <xf numFmtId="165" fontId="18" fillId="5" borderId="4" xfId="0" applyFont="true" applyBorder="true" applyAlignment="true" applyProtection="true">
      <alignment horizontal="general" vertical="bottom" textRotation="0" wrapText="false" indent="0" shrinkToFit="false"/>
      <protection locked="true" hidden="true"/>
    </xf>
    <xf numFmtId="168" fontId="18" fillId="5" borderId="4" xfId="0" applyFont="true" applyBorder="true" applyAlignment="true" applyProtection="true">
      <alignment horizontal="general" vertical="bottom" textRotation="0" wrapText="false" indent="0" shrinkToFit="false"/>
      <protection locked="true" hidden="true"/>
    </xf>
    <xf numFmtId="167" fontId="18" fillId="5" borderId="4" xfId="0" applyFont="true" applyBorder="true" applyAlignment="true" applyProtection="true">
      <alignment horizontal="general" vertical="bottom" textRotation="0" wrapText="false" indent="0" shrinkToFit="false"/>
      <protection locked="true" hidden="true"/>
    </xf>
    <xf numFmtId="164" fontId="0" fillId="5" borderId="4" xfId="0" applyFont="false" applyBorder="true" applyAlignment="true" applyProtection="false">
      <alignment horizontal="general" vertical="bottom" textRotation="0" wrapText="false" indent="0" shrinkToFit="false"/>
      <protection locked="true" hidden="false"/>
    </xf>
    <xf numFmtId="169" fontId="25" fillId="5" borderId="4" xfId="0" applyFont="true" applyBorder="true" applyAlignment="true" applyProtection="true">
      <alignment horizontal="general" vertical="bottom" textRotation="0" wrapText="false" indent="0" shrinkToFit="false"/>
      <protection locked="true" hidden="true"/>
    </xf>
    <xf numFmtId="164" fontId="26" fillId="5" borderId="4" xfId="0" applyFont="true" applyBorder="true" applyAlignment="true" applyProtection="false">
      <alignment horizontal="general" vertical="bottom" textRotation="0" wrapText="false" indent="0" shrinkToFit="false"/>
      <protection locked="true" hidden="false"/>
    </xf>
    <xf numFmtId="165" fontId="15" fillId="3" borderId="4" xfId="0" applyFont="true" applyBorder="true" applyAlignment="true" applyProtection="true">
      <alignment horizontal="general" vertical="bottom" textRotation="0" wrapText="false" indent="0" shrinkToFit="false"/>
      <protection locked="false" hidden="false"/>
    </xf>
    <xf numFmtId="168" fontId="15" fillId="3" borderId="4" xfId="0" applyFont="true" applyBorder="true" applyAlignment="true" applyProtection="true">
      <alignment horizontal="general" vertical="bottom" textRotation="0" wrapText="false" indent="0" shrinkToFit="false"/>
      <protection locked="false" hidden="false"/>
    </xf>
    <xf numFmtId="167" fontId="15" fillId="3" borderId="4" xfId="0" applyFont="true" applyBorder="true" applyAlignment="true" applyProtection="true">
      <alignment horizontal="general" vertical="bottom" textRotation="0" wrapText="false" indent="0" shrinkToFit="false"/>
      <protection locked="false" hidden="false"/>
    </xf>
    <xf numFmtId="170" fontId="15" fillId="3" borderId="4" xfId="0" applyFont="true" applyBorder="true" applyAlignment="true" applyProtection="true">
      <alignment horizontal="general" vertical="bottom" textRotation="0" wrapText="false" indent="0" shrinkToFit="false"/>
      <protection locked="false" hidden="false"/>
    </xf>
    <xf numFmtId="166" fontId="15" fillId="3" borderId="4" xfId="0" applyFont="true" applyBorder="true" applyAlignment="true" applyProtection="true">
      <alignment horizontal="general" vertical="bottom" textRotation="0" wrapText="false" indent="0" shrinkToFit="false"/>
      <protection locked="false" hidden="false"/>
    </xf>
    <xf numFmtId="169" fontId="7" fillId="0" borderId="4" xfId="0" applyFont="true" applyBorder="true" applyAlignment="true" applyProtection="true">
      <alignment horizontal="general" vertical="bottom" textRotation="0" wrapText="false" indent="0" shrinkToFit="false"/>
      <protection locked="true" hidden="true"/>
    </xf>
    <xf numFmtId="169" fontId="25" fillId="0" borderId="4" xfId="0" applyFont="true" applyBorder="true" applyAlignment="true" applyProtection="true">
      <alignment horizontal="general" vertical="bottom" textRotation="0" wrapText="false" indent="0" shrinkToFit="false"/>
      <protection locked="true" hidden="true"/>
    </xf>
    <xf numFmtId="167" fontId="22" fillId="0" borderId="4" xfId="0" applyFont="true" applyBorder="true" applyAlignment="true" applyProtection="true">
      <alignment horizontal="general" vertical="bottom" textRotation="0" wrapText="false" indent="0" shrinkToFit="false"/>
      <protection locked="true" hidden="true"/>
    </xf>
    <xf numFmtId="168" fontId="15" fillId="3" borderId="2" xfId="0" applyFont="true" applyBorder="true" applyAlignment="true" applyProtection="true">
      <alignment horizontal="general" vertical="bottom" textRotation="0" wrapText="false" indent="0" shrinkToFit="false"/>
      <protection locked="false" hidden="false"/>
    </xf>
    <xf numFmtId="165" fontId="18" fillId="0" borderId="4" xfId="0" applyFont="true" applyBorder="true" applyAlignment="true" applyProtection="true">
      <alignment horizontal="general" vertical="bottom" textRotation="0" wrapText="false" indent="0" shrinkToFit="false"/>
      <protection locked="true" hidden="true"/>
    </xf>
    <xf numFmtId="169" fontId="18" fillId="0" borderId="4" xfId="0" applyFont="true" applyBorder="true" applyAlignment="true" applyProtection="true">
      <alignment horizontal="general" vertical="bottom" textRotation="0" wrapText="false" indent="0" shrinkToFit="false"/>
      <protection locked="true" hidden="true"/>
    </xf>
    <xf numFmtId="169" fontId="6" fillId="0" borderId="4" xfId="0" applyFont="true" applyBorder="true" applyAlignment="true" applyProtection="true">
      <alignment horizontal="general" vertical="bottom" textRotation="0" wrapText="false" indent="0" shrinkToFit="false"/>
      <protection locked="true" hidden="true"/>
    </xf>
    <xf numFmtId="164" fontId="6" fillId="0" borderId="5" xfId="0" applyFont="true" applyBorder="true" applyAlignment="true" applyProtection="false">
      <alignment horizontal="general" vertical="bottom" textRotation="0" wrapText="false" indent="0" shrinkToFit="false"/>
      <protection locked="true" hidden="false"/>
    </xf>
    <xf numFmtId="164" fontId="0" fillId="0" borderId="5" xfId="0" applyFont="false" applyBorder="true" applyAlignment="true" applyProtection="false">
      <alignment horizontal="general" vertical="bottom" textRotation="0" wrapText="false" indent="0" shrinkToFit="false"/>
      <protection locked="true" hidden="false"/>
    </xf>
    <xf numFmtId="167" fontId="6" fillId="0" borderId="5" xfId="0" applyFont="true" applyBorder="true" applyAlignment="true" applyProtection="true">
      <alignment horizontal="general" vertical="bottom" textRotation="0" wrapText="false" indent="0" shrinkToFit="false"/>
      <protection locked="true" hidden="true"/>
    </xf>
    <xf numFmtId="164" fontId="9" fillId="0" borderId="1" xfId="0" applyFont="true" applyBorder="true" applyAlignment="true" applyProtection="false">
      <alignment horizontal="general" vertical="bottom" textRotation="0" wrapText="false" indent="0" shrinkToFit="false"/>
      <protection locked="true" hidden="false"/>
    </xf>
    <xf numFmtId="164" fontId="0" fillId="0" borderId="1" xfId="0" applyFont="false" applyBorder="true" applyAlignment="true" applyProtection="false">
      <alignment horizontal="general" vertical="bottom" textRotation="0" wrapText="false" indent="0" shrinkToFit="false"/>
      <protection locked="true" hidden="false"/>
    </xf>
    <xf numFmtId="169" fontId="27" fillId="0" borderId="1" xfId="0" applyFont="true" applyBorder="true" applyAlignment="true" applyProtection="true">
      <alignment horizontal="general" vertical="bottom" textRotation="0" wrapText="false" indent="0" shrinkToFit="false"/>
      <protection locked="true" hidden="true"/>
    </xf>
    <xf numFmtId="164" fontId="11" fillId="0" borderId="1" xfId="0" applyFont="true" applyBorder="true" applyAlignment="true" applyProtection="true">
      <alignment horizontal="general" vertical="bottom" textRotation="0" wrapText="false" indent="0" shrinkToFit="false"/>
      <protection locked="true" hidden="true"/>
    </xf>
    <xf numFmtId="167" fontId="28" fillId="0" borderId="1" xfId="0" applyFont="true" applyBorder="true" applyAlignment="true" applyProtection="true">
      <alignment horizontal="general" vertical="bottom" textRotation="0" wrapText="false" indent="0" shrinkToFit="false"/>
      <protection locked="true" hidden="true"/>
    </xf>
    <xf numFmtId="164" fontId="9" fillId="0" borderId="6" xfId="0" applyFont="true" applyBorder="true" applyAlignment="true" applyProtection="false">
      <alignment horizontal="general" vertical="bottom" textRotation="0" wrapText="false" indent="0" shrinkToFit="false"/>
      <protection locked="true" hidden="false"/>
    </xf>
    <xf numFmtId="164" fontId="0" fillId="0" borderId="6" xfId="0" applyFont="false" applyBorder="true" applyAlignment="true" applyProtection="false">
      <alignment horizontal="general" vertical="bottom" textRotation="0" wrapText="false" indent="0" shrinkToFit="false"/>
      <protection locked="true" hidden="false"/>
    </xf>
    <xf numFmtId="167" fontId="29" fillId="3" borderId="6" xfId="0" applyFont="true" applyBorder="true" applyAlignment="true" applyProtection="true">
      <alignment horizontal="general" vertical="bottom" textRotation="0" wrapText="false" indent="0" shrinkToFit="false"/>
      <protection locked="false" hidden="false"/>
    </xf>
    <xf numFmtId="164" fontId="11" fillId="0" borderId="6" xfId="0" applyFont="true" applyBorder="true" applyAlignment="true" applyProtection="false">
      <alignment horizontal="general" vertical="bottom" textRotation="0" wrapText="false" indent="0" shrinkToFit="false"/>
      <protection locked="true" hidden="false"/>
    </xf>
    <xf numFmtId="167" fontId="18" fillId="0" borderId="0" xfId="0" applyFont="true" applyBorder="false" applyAlignment="true" applyProtection="true">
      <alignment horizontal="general" vertical="bottom" textRotation="0" wrapText="false" indent="0" shrinkToFit="false"/>
      <protection locked="true" hidden="true"/>
    </xf>
    <xf numFmtId="167" fontId="7" fillId="0" borderId="0" xfId="0" applyFont="true" applyBorder="false" applyAlignment="true" applyProtection="true">
      <alignment horizontal="general" vertical="bottom" textRotation="0" wrapText="false" indent="0" shrinkToFit="false"/>
      <protection locked="true" hidden="true"/>
    </xf>
    <xf numFmtId="166" fontId="7" fillId="0" borderId="0" xfId="0" applyFont="true" applyBorder="false" applyAlignment="true" applyProtection="true">
      <alignment horizontal="general" vertical="bottom" textRotation="0" wrapText="false" indent="0" shrinkToFit="false"/>
      <protection locked="true" hidden="true"/>
    </xf>
    <xf numFmtId="167" fontId="27" fillId="0" borderId="1" xfId="0" applyFont="true" applyBorder="true" applyAlignment="true" applyProtection="true">
      <alignment horizontal="general" vertical="bottom" textRotation="0" wrapText="false" indent="0" shrinkToFit="false"/>
      <protection locked="true" hidden="true"/>
    </xf>
    <xf numFmtId="166" fontId="27" fillId="0" borderId="1" xfId="0" applyFont="true" applyBorder="true" applyAlignment="true" applyProtection="true">
      <alignment horizontal="general" vertical="bottom" textRotation="0" wrapText="false" indent="0" shrinkToFit="false"/>
      <protection locked="true" hidden="true"/>
    </xf>
    <xf numFmtId="165" fontId="6" fillId="0" borderId="1" xfId="0" applyFont="true" applyBorder="true" applyAlignment="true" applyProtection="true">
      <alignment horizontal="general" vertical="center" textRotation="0" wrapText="false" indent="0" shrinkToFit="false"/>
      <protection locked="true" hidden="true"/>
    </xf>
    <xf numFmtId="164" fontId="30" fillId="0" borderId="0" xfId="0" applyFont="true" applyBorder="false" applyAlignment="true" applyProtection="false">
      <alignment horizontal="center" vertical="bottom" textRotation="0" wrapText="false" indent="0" shrinkToFit="false"/>
      <protection locked="true" hidden="false"/>
    </xf>
    <xf numFmtId="164" fontId="30" fillId="0" borderId="0" xfId="0" applyFont="true" applyBorder="true" applyAlignment="true" applyProtection="true">
      <alignment horizontal="center" vertical="bottom" textRotation="0" wrapText="false" indent="0" shrinkToFit="false"/>
      <protection locked="true" hidden="true"/>
    </xf>
    <xf numFmtId="165" fontId="18" fillId="0" borderId="4" xfId="0" applyFont="true" applyBorder="true" applyAlignment="true" applyProtection="true">
      <alignment horizontal="center" vertical="bottom" textRotation="0" wrapText="false" indent="0" shrinkToFit="false"/>
      <protection locked="true" hidden="true"/>
    </xf>
    <xf numFmtId="167" fontId="18" fillId="0" borderId="4" xfId="0" applyFont="true" applyBorder="true" applyAlignment="true" applyProtection="true">
      <alignment horizontal="general" vertical="bottom" textRotation="0" wrapText="false" indent="0" shrinkToFit="false"/>
      <protection locked="true" hidden="true"/>
    </xf>
    <xf numFmtId="167" fontId="7" fillId="0" borderId="4" xfId="0" applyFont="true" applyBorder="true" applyAlignment="true" applyProtection="true">
      <alignment horizontal="general" vertical="bottom" textRotation="0" wrapText="false" indent="0" shrinkToFit="false"/>
      <protection locked="true" hidden="true"/>
    </xf>
    <xf numFmtId="167" fontId="31" fillId="0" borderId="4" xfId="0" applyFont="true" applyBorder="true" applyAlignment="true" applyProtection="true">
      <alignment horizontal="general" vertical="bottom" textRotation="0" wrapText="false" indent="0" shrinkToFit="false"/>
      <protection locked="true" hidden="true"/>
    </xf>
    <xf numFmtId="166" fontId="31" fillId="0" borderId="4" xfId="0" applyFont="true" applyBorder="true" applyAlignment="true" applyProtection="true">
      <alignment horizontal="general" vertical="bottom" textRotation="0" wrapText="false" indent="0" shrinkToFit="false"/>
      <protection locked="true" hidden="true"/>
    </xf>
    <xf numFmtId="166" fontId="7" fillId="0" borderId="4" xfId="0" applyFont="true" applyBorder="true" applyAlignment="true" applyProtection="true">
      <alignment horizontal="general" vertical="bottom" textRotation="0" wrapText="false" indent="0" shrinkToFit="false"/>
      <protection locked="true" hidden="true"/>
    </xf>
    <xf numFmtId="167" fontId="6" fillId="0" borderId="4" xfId="0" applyFont="true" applyBorder="true" applyAlignment="true" applyProtection="true">
      <alignment horizontal="general" vertical="bottom" textRotation="0" wrapText="false" indent="0" shrinkToFit="false"/>
      <protection locked="true" hidden="true"/>
    </xf>
    <xf numFmtId="166" fontId="6" fillId="0" borderId="4" xfId="0" applyFont="true" applyBorder="true" applyAlignment="true" applyProtection="true">
      <alignment horizontal="general" vertical="bottom" textRotation="0" wrapText="false" indent="0" shrinkToFit="false"/>
      <protection locked="true" hidden="true"/>
    </xf>
    <xf numFmtId="164" fontId="7" fillId="0" borderId="3" xfId="0" applyFont="true" applyBorder="true" applyAlignment="true" applyProtection="false">
      <alignment horizontal="general" vertical="center" textRotation="0" wrapText="true" indent="0" shrinkToFit="false"/>
      <protection locked="true" hidden="false"/>
    </xf>
    <xf numFmtId="170" fontId="32" fillId="0" borderId="3" xfId="0" applyFont="true" applyBorder="true" applyAlignment="true" applyProtection="false">
      <alignment horizontal="center" vertical="center" textRotation="0" wrapText="false" indent="0" shrinkToFit="false"/>
      <protection locked="true" hidden="false"/>
    </xf>
    <xf numFmtId="170" fontId="32" fillId="0" borderId="3" xfId="0" applyFont="true" applyBorder="true" applyAlignment="true" applyProtection="true">
      <alignment horizontal="center" vertical="center" textRotation="0" wrapText="false" indent="0" shrinkToFit="false"/>
      <protection locked="true" hidden="true"/>
    </xf>
    <xf numFmtId="164" fontId="33" fillId="0" borderId="0" xfId="0" applyFont="true" applyBorder="true" applyAlignment="true" applyProtection="true">
      <alignment horizontal="general" vertical="top" textRotation="0" wrapText="true" indent="0" shrinkToFit="false"/>
      <protection locked="true" hidden="true"/>
    </xf>
    <xf numFmtId="164" fontId="17" fillId="4" borderId="0" xfId="0" applyFont="true" applyBorder="false" applyAlignment="true" applyProtection="false">
      <alignment horizontal="center" vertical="center" textRotation="0" wrapText="false" indent="0" shrinkToFit="false"/>
      <protection locked="true" hidden="false"/>
    </xf>
    <xf numFmtId="164" fontId="7" fillId="0" borderId="4" xfId="0" applyFont="true" applyBorder="true" applyAlignment="true" applyProtection="false">
      <alignment horizontal="general" vertical="center" textRotation="0" wrapText="true" indent="0" shrinkToFit="false"/>
      <protection locked="true" hidden="false"/>
    </xf>
    <xf numFmtId="164" fontId="22" fillId="0" borderId="4" xfId="0" applyFont="true" applyBorder="true" applyAlignment="true" applyProtection="false">
      <alignment horizontal="center" vertical="center" textRotation="0" wrapText="true" indent="0" shrinkToFit="false"/>
      <protection locked="true" hidden="false"/>
    </xf>
    <xf numFmtId="164" fontId="6" fillId="0" borderId="4" xfId="0" applyFont="true" applyBorder="true" applyAlignment="true" applyProtection="false">
      <alignment horizontal="center" vertical="center" textRotation="0" wrapText="true" indent="0" shrinkToFit="false"/>
      <protection locked="true" hidden="false"/>
    </xf>
    <xf numFmtId="170" fontId="29" fillId="3" borderId="2" xfId="0" applyFont="true" applyBorder="true" applyAlignment="true" applyProtection="true">
      <alignment horizontal="center" vertical="bottom" textRotation="0" wrapText="false" indent="0" shrinkToFit="false"/>
      <protection locked="false" hidden="false"/>
    </xf>
    <xf numFmtId="170" fontId="7" fillId="0" borderId="3" xfId="0" applyFont="true" applyBorder="true" applyAlignment="true" applyProtection="false">
      <alignment horizontal="center" vertical="bottom" textRotation="0" wrapText="false" indent="0" shrinkToFit="false"/>
      <protection locked="true" hidden="false"/>
    </xf>
    <xf numFmtId="170" fontId="7" fillId="0" borderId="3" xfId="0" applyFont="true" applyBorder="true" applyAlignment="true" applyProtection="true">
      <alignment horizontal="center" vertical="bottom" textRotation="0" wrapText="false" indent="0" shrinkToFit="false"/>
      <protection locked="true" hidden="true"/>
    </xf>
    <xf numFmtId="164" fontId="9" fillId="6" borderId="7" xfId="0" applyFont="true" applyBorder="true" applyAlignment="true" applyProtection="false">
      <alignment horizontal="general" vertical="bottom" textRotation="0" wrapText="false" indent="0" shrinkToFit="false"/>
      <protection locked="true" hidden="false"/>
    </xf>
    <xf numFmtId="171" fontId="32" fillId="6" borderId="7" xfId="0" applyFont="true" applyBorder="true" applyAlignment="true" applyProtection="true">
      <alignment horizontal="center" vertical="bottom" textRotation="0" wrapText="false" indent="0" shrinkToFit="false"/>
      <protection locked="true" hidden="true"/>
    </xf>
    <xf numFmtId="170" fontId="34" fillId="6" borderId="7" xfId="0" applyFont="true" applyBorder="true" applyAlignment="true" applyProtection="true">
      <alignment horizontal="center" vertical="bottom" textRotation="0" wrapText="false" indent="0" shrinkToFit="false"/>
      <protection locked="true" hidden="true"/>
    </xf>
    <xf numFmtId="164" fontId="7" fillId="0" borderId="0" xfId="0" applyFont="true" applyBorder="true" applyAlignment="true" applyProtection="false">
      <alignment horizontal="general" vertical="top" textRotation="0" wrapText="true" indent="0" shrinkToFit="false"/>
      <protection locked="true" hidden="false"/>
    </xf>
    <xf numFmtId="164" fontId="22" fillId="0" borderId="0" xfId="0" applyFont="true" applyBorder="false" applyAlignment="true" applyProtection="false">
      <alignment horizontal="general" vertical="bottom" textRotation="0" wrapText="false" indent="0" shrinkToFit="false"/>
      <protection locked="true" hidden="false"/>
    </xf>
    <xf numFmtId="164" fontId="35" fillId="0" borderId="0" xfId="0" applyFont="true" applyBorder="false" applyAlignment="true" applyProtection="false">
      <alignment horizontal="center" vertical="bottom" textRotation="0" wrapText="false" indent="0" shrinkToFit="false"/>
      <protection locked="true" hidden="false"/>
    </xf>
    <xf numFmtId="164" fontId="36" fillId="0" borderId="0" xfId="0" applyFont="true" applyBorder="true" applyAlignment="true" applyProtection="false">
      <alignment horizontal="general" vertical="center" textRotation="0" wrapText="true" indent="0" shrinkToFit="false"/>
      <protection locked="true" hidden="false"/>
    </xf>
    <xf numFmtId="164" fontId="37" fillId="0" borderId="0"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name val="Arial"/>
        <charset val="1"/>
        <family val="0"/>
        <b val="1"/>
        <color rgb="FF1E6B2E"/>
        <sz val="10"/>
      </font>
      <fill>
        <patternFill>
          <bgColor rgb="FFDCEDDC"/>
        </patternFill>
      </fill>
    </dxf>
    <dxf>
      <font>
        <name val="Arial"/>
        <charset val="1"/>
        <family val="0"/>
        <b val="1"/>
        <color rgb="FFA03030"/>
        <sz val="10"/>
      </font>
      <fill>
        <patternFill>
          <bgColor rgb="FFFBE4E4"/>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1E6B2E"/>
      <rgbColor rgb="FFC9C0B4"/>
      <rgbColor rgb="FF9A7B4F"/>
      <rgbColor rgb="FF9999FF"/>
      <rgbColor rgb="FF993366"/>
      <rgbColor rgb="FFFFF4CC"/>
      <rgbColor rgb="FFF5F1EA"/>
      <rgbColor rgb="FF660066"/>
      <rgbColor rgb="FFFF8080"/>
      <rgbColor rgb="FF1155CC"/>
      <rgbColor rgb="FFCCCCFF"/>
      <rgbColor rgb="FF000080"/>
      <rgbColor rgb="FFFF00FF"/>
      <rgbColor rgb="FFFFFF00"/>
      <rgbColor rgb="FF00FFFF"/>
      <rgbColor rgb="FF800080"/>
      <rgbColor rgb="FF800000"/>
      <rgbColor rgb="FF008080"/>
      <rgbColor rgb="FF0000FF"/>
      <rgbColor rgb="FF00CCFF"/>
      <rgbColor rgb="FFEDE7DD"/>
      <rgbColor rgb="FFDCEDDC"/>
      <rgbColor rgb="FFFFFF99"/>
      <rgbColor rgb="FF99CCFF"/>
      <rgbColor rgb="FFFF99CC"/>
      <rgbColor rgb="FFCC99FF"/>
      <rgbColor rgb="FFFBE4E4"/>
      <rgbColor rgb="FF3366FF"/>
      <rgbColor rgb="FF33CCCC"/>
      <rgbColor rgb="FF99CC00"/>
      <rgbColor rgb="FFFFCC00"/>
      <rgbColor rgb="FFFF9900"/>
      <rgbColor rgb="FFFF6600"/>
      <rgbColor rgb="FF6B6157"/>
      <rgbColor rgb="FF9A9186"/>
      <rgbColor rgb="FF003366"/>
      <rgbColor rgb="FF339966"/>
      <rgbColor rgb="FF003300"/>
      <rgbColor rgb="FF333300"/>
      <rgbColor rgb="FFA03030"/>
      <rgbColor rgb="FF993366"/>
      <rgbColor rgb="FF333399"/>
      <rgbColor rgb="FF1C2B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image" Target="../media/image1.png"/>
</Relationships>
</file>

<file path=xl/drawings/_rels/drawing3.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2</xdr:col>
      <xdr:colOff>692280</xdr:colOff>
      <xdr:row>4</xdr:row>
      <xdr:rowOff>237240</xdr:rowOff>
    </xdr:to>
    <xdr:pic>
      <xdr:nvPicPr>
        <xdr:cNvPr id="0" name="Image 1" descr="Picture"/>
        <xdr:cNvPicPr/>
      </xdr:nvPicPr>
      <xdr:blipFill>
        <a:blip r:embed="rId1"/>
        <a:stretch/>
      </xdr:blipFill>
      <xdr:spPr>
        <a:xfrm>
          <a:off x="211320" y="190440"/>
          <a:ext cx="2666160" cy="126612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2</xdr:col>
      <xdr:colOff>551520</xdr:colOff>
      <xdr:row>4</xdr:row>
      <xdr:rowOff>237240</xdr:rowOff>
    </xdr:to>
    <xdr:pic>
      <xdr:nvPicPr>
        <xdr:cNvPr id="1" name="Image 1" descr="Picture"/>
        <xdr:cNvPicPr/>
      </xdr:nvPicPr>
      <xdr:blipFill>
        <a:blip r:embed="rId1"/>
        <a:stretch/>
      </xdr:blipFill>
      <xdr:spPr>
        <a:xfrm>
          <a:off x="211320" y="190440"/>
          <a:ext cx="2666160" cy="126612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1</xdr:col>
      <xdr:colOff>2666160</xdr:colOff>
      <xdr:row>4</xdr:row>
      <xdr:rowOff>237240</xdr:rowOff>
    </xdr:to>
    <xdr:pic>
      <xdr:nvPicPr>
        <xdr:cNvPr id="2" name="Image 1" descr="Picture"/>
        <xdr:cNvPicPr/>
      </xdr:nvPicPr>
      <xdr:blipFill>
        <a:blip r:embed="rId1"/>
        <a:stretch/>
      </xdr:blipFill>
      <xdr:spPr>
        <a:xfrm>
          <a:off x="211320" y="190440"/>
          <a:ext cx="2666160" cy="126612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calendly.com/backofhouseco/back-of-house-introductory-call" TargetMode="External"/><Relationship Id="rId2" Type="http://schemas.openxmlformats.org/officeDocument/2006/relationships/drawing" Target="../drawings/drawing1.xml"/>
</Relationships>
</file>

<file path=xl/worksheets/_rels/sheet3.xml.rels><?xml version="1.0" encoding="UTF-8"?>
<Relationships xmlns="http://schemas.openxmlformats.org/package/2006/relationships"><Relationship Id="rId1" Type="http://schemas.openxmlformats.org/officeDocument/2006/relationships/drawing" Target="../drawings/drawing2.xml"/>
</Relationships>
</file>

<file path=xl/worksheets/_rels/sheet10.xml.rels><?xml version="1.0" encoding="UTF-8"?>
<Relationships xmlns="http://schemas.openxmlformats.org/package/2006/relationships"><Relationship Id="rId1" Type="http://schemas.openxmlformats.org/officeDocument/2006/relationships/hyperlink" Target="https://payhip.com/b/6kn8o" TargetMode="External"/><Relationship Id="rId2" Type="http://schemas.openxmlformats.org/officeDocument/2006/relationships/hyperlink" Target="https://calendly.com/backofhouseco/back-of-house-introductory-call" TargetMode="External"/><Relationship Id="rId3"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C5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28"/>
    <col collapsed="false" customWidth="true" hidden="false" outlineLevel="0" max="3" min="3" style="1" width="82"/>
  </cols>
  <sheetData>
    <row r="2" customFormat="false" ht="27" hidden="false" customHeight="true" outlineLevel="0" collapsed="false"/>
    <row r="3" customFormat="false" ht="27" hidden="false" customHeight="true" outlineLevel="0" collapsed="false"/>
    <row r="4" customFormat="false" ht="27" hidden="false" customHeight="true" outlineLevel="0" collapsed="false"/>
    <row r="5" customFormat="false" ht="27" hidden="false" customHeight="true" outlineLevel="0" collapsed="false"/>
    <row r="8" customFormat="false" ht="21.75" hidden="false" customHeight="true" outlineLevel="0" collapsed="false"/>
    <row r="9" customFormat="false" ht="25.5" hidden="false" customHeight="true" outlineLevel="0" collapsed="false">
      <c r="B9" s="2" t="s">
        <v>0</v>
      </c>
      <c r="C9" s="2"/>
    </row>
    <row r="10" customFormat="false" ht="15" hidden="false" customHeight="true" outlineLevel="0" collapsed="false">
      <c r="B10" s="3" t="s">
        <v>1</v>
      </c>
      <c r="C10" s="3"/>
    </row>
    <row r="12" customFormat="false" ht="61.5" hidden="false" customHeight="true" outlineLevel="0" collapsed="false">
      <c r="B12" s="4" t="s">
        <v>2</v>
      </c>
      <c r="C12" s="5" t="s">
        <v>3</v>
      </c>
    </row>
    <row r="14" customFormat="false" ht="15" hidden="false" customHeight="true" outlineLevel="0" collapsed="false">
      <c r="B14" s="4" t="s">
        <v>4</v>
      </c>
    </row>
    <row r="15" customFormat="false" ht="30" hidden="false" customHeight="true" outlineLevel="0" collapsed="false">
      <c r="B15" s="6" t="s">
        <v>5</v>
      </c>
      <c r="C15" s="5" t="s">
        <v>6</v>
      </c>
    </row>
    <row r="16" customFormat="false" ht="30" hidden="false" customHeight="true" outlineLevel="0" collapsed="false">
      <c r="B16" s="6" t="s">
        <v>7</v>
      </c>
      <c r="C16" s="5" t="s">
        <v>8</v>
      </c>
    </row>
    <row r="17" customFormat="false" ht="30" hidden="false" customHeight="true" outlineLevel="0" collapsed="false">
      <c r="B17" s="6" t="s">
        <v>9</v>
      </c>
      <c r="C17" s="5" t="s">
        <v>10</v>
      </c>
    </row>
    <row r="18" customFormat="false" ht="30" hidden="false" customHeight="true" outlineLevel="0" collapsed="false">
      <c r="B18" s="6" t="s">
        <v>11</v>
      </c>
      <c r="C18" s="5" t="s">
        <v>12</v>
      </c>
    </row>
    <row r="20" customFormat="false" ht="15" hidden="false" customHeight="true" outlineLevel="0" collapsed="false">
      <c r="B20" s="4" t="s">
        <v>13</v>
      </c>
    </row>
    <row r="21" customFormat="false" ht="30" hidden="false" customHeight="true" outlineLevel="0" collapsed="false">
      <c r="B21" s="6" t="s">
        <v>14</v>
      </c>
      <c r="C21" s="5" t="s">
        <v>15</v>
      </c>
    </row>
    <row r="22" customFormat="false" ht="30" hidden="false" customHeight="true" outlineLevel="0" collapsed="false">
      <c r="B22" s="6" t="s">
        <v>16</v>
      </c>
      <c r="C22" s="5" t="s">
        <v>17</v>
      </c>
    </row>
    <row r="23" customFormat="false" ht="30" hidden="false" customHeight="true" outlineLevel="0" collapsed="false">
      <c r="B23" s="6" t="s">
        <v>18</v>
      </c>
      <c r="C23" s="5" t="s">
        <v>19</v>
      </c>
    </row>
    <row r="24" customFormat="false" ht="30" hidden="false" customHeight="true" outlineLevel="0" collapsed="false">
      <c r="B24" s="6" t="s">
        <v>20</v>
      </c>
      <c r="C24" s="5" t="s">
        <v>21</v>
      </c>
    </row>
    <row r="25" customFormat="false" ht="30" hidden="false" customHeight="true" outlineLevel="0" collapsed="false">
      <c r="B25" s="6" t="s">
        <v>22</v>
      </c>
      <c r="C25" s="5" t="s">
        <v>23</v>
      </c>
    </row>
    <row r="26" customFormat="false" ht="30" hidden="false" customHeight="true" outlineLevel="0" collapsed="false">
      <c r="B26" s="6" t="s">
        <v>24</v>
      </c>
      <c r="C26" s="5" t="s">
        <v>25</v>
      </c>
    </row>
    <row r="27" customFormat="false" ht="30" hidden="false" customHeight="true" outlineLevel="0" collapsed="false">
      <c r="B27" s="6" t="s">
        <v>26</v>
      </c>
      <c r="C27" s="5" t="s">
        <v>27</v>
      </c>
    </row>
    <row r="28" customFormat="false" ht="30" hidden="false" customHeight="true" outlineLevel="0" collapsed="false">
      <c r="B28" s="6" t="s">
        <v>28</v>
      </c>
      <c r="C28" s="5" t="s">
        <v>29</v>
      </c>
    </row>
    <row r="30" customFormat="false" ht="27.75" hidden="false" customHeight="true" outlineLevel="0" collapsed="false">
      <c r="B30" s="4" t="s">
        <v>30</v>
      </c>
      <c r="C30" s="5" t="s">
        <v>31</v>
      </c>
    </row>
    <row r="31" customFormat="false" ht="27.75" hidden="false" customHeight="true" outlineLevel="0" collapsed="false">
      <c r="C31" s="5" t="s">
        <v>32</v>
      </c>
    </row>
    <row r="32" customFormat="false" ht="27.75" hidden="false" customHeight="true" outlineLevel="0" collapsed="false">
      <c r="C32" s="5" t="s">
        <v>33</v>
      </c>
    </row>
    <row r="33" customFormat="false" ht="27.75" hidden="false" customHeight="true" outlineLevel="0" collapsed="false">
      <c r="C33" s="5" t="s">
        <v>34</v>
      </c>
    </row>
    <row r="34" customFormat="false" ht="27.75" hidden="false" customHeight="true" outlineLevel="0" collapsed="false">
      <c r="C34" s="5" t="s">
        <v>35</v>
      </c>
    </row>
    <row r="35" customFormat="false" ht="27.75" hidden="false" customHeight="true" outlineLevel="0" collapsed="false">
      <c r="C35" s="5" t="s">
        <v>36</v>
      </c>
    </row>
    <row r="37" customFormat="false" ht="48" hidden="false" customHeight="true" outlineLevel="0" collapsed="false">
      <c r="B37" s="4" t="s">
        <v>37</v>
      </c>
      <c r="C37" s="5" t="s">
        <v>38</v>
      </c>
    </row>
    <row r="39" customFormat="false" ht="60" hidden="false" customHeight="true" outlineLevel="0" collapsed="false">
      <c r="B39" s="4" t="s">
        <v>39</v>
      </c>
      <c r="C39" s="5" t="s">
        <v>40</v>
      </c>
    </row>
    <row r="41" customFormat="false" ht="48" hidden="false" customHeight="true" outlineLevel="0" collapsed="false">
      <c r="B41" s="4" t="s">
        <v>41</v>
      </c>
      <c r="C41" s="5" t="s">
        <v>42</v>
      </c>
    </row>
    <row r="43" customFormat="false" ht="48" hidden="false" customHeight="true" outlineLevel="0" collapsed="false">
      <c r="B43" s="4" t="s">
        <v>43</v>
      </c>
      <c r="C43" s="5" t="s">
        <v>44</v>
      </c>
    </row>
    <row r="45" customFormat="false" ht="30" hidden="false" customHeight="true" outlineLevel="0" collapsed="false">
      <c r="B45" s="4" t="s">
        <v>45</v>
      </c>
      <c r="C45" s="5" t="s">
        <v>46</v>
      </c>
    </row>
    <row r="46" customFormat="false" ht="30" hidden="false" customHeight="true" outlineLevel="0" collapsed="false">
      <c r="C46" s="5" t="s">
        <v>47</v>
      </c>
    </row>
    <row r="47" customFormat="false" ht="30" hidden="false" customHeight="true" outlineLevel="0" collapsed="false">
      <c r="C47" s="5" t="s">
        <v>48</v>
      </c>
    </row>
    <row r="48" customFormat="false" ht="30" hidden="false" customHeight="true" outlineLevel="0" collapsed="false">
      <c r="C48" s="5" t="s">
        <v>49</v>
      </c>
    </row>
    <row r="49" customFormat="false" ht="30" hidden="false" customHeight="true" outlineLevel="0" collapsed="false">
      <c r="C49" s="5" t="s">
        <v>50</v>
      </c>
    </row>
    <row r="51" customFormat="false" ht="48" hidden="false" customHeight="true" outlineLevel="0" collapsed="false">
      <c r="B51" s="4" t="s">
        <v>51</v>
      </c>
      <c r="C51" s="5" t="s">
        <v>52</v>
      </c>
    </row>
    <row r="53" customFormat="false" ht="15" hidden="false" customHeight="true" outlineLevel="0" collapsed="false">
      <c r="B53" s="7" t="s">
        <v>53</v>
      </c>
      <c r="C53" s="8"/>
    </row>
    <row r="54" customFormat="false" ht="48" hidden="false" customHeight="true" outlineLevel="0" collapsed="false">
      <c r="C54" s="5" t="s">
        <v>54</v>
      </c>
    </row>
    <row r="55" customFormat="false" ht="15" hidden="false" customHeight="true" outlineLevel="0" collapsed="false">
      <c r="C55" s="9" t="s">
        <v>55</v>
      </c>
    </row>
    <row r="57" customFormat="false" ht="32.25" hidden="false" customHeight="true" outlineLevel="0" collapsed="false">
      <c r="B57" s="10" t="s">
        <v>56</v>
      </c>
    </row>
    <row r="58" customFormat="false" ht="21.75" hidden="false" customHeight="true" outlineLevel="0" collapsed="false">
      <c r="B58" s="10" t="s">
        <v>57</v>
      </c>
    </row>
    <row r="59" customFormat="false" ht="18.75" hidden="false" customHeight="true" outlineLevel="0" collapsed="false">
      <c r="B59" s="11" t="s">
        <v>58</v>
      </c>
    </row>
  </sheetData>
  <sheetProtection sheet="true" password="b7e1" objects="true" scenarios="true" formatCells="false" formatColumns="false" formatRows="false" sort="false" autoFilter="false"/>
  <mergeCells count="2">
    <mergeCell ref="B9:C9"/>
    <mergeCell ref="B10:C10"/>
  </mergeCells>
  <hyperlinks>
    <hyperlink ref="C55" r:id="rId1" display="calendly.com/backofhouseco/back-of-house-introductory-call"/>
  </hyperlinks>
  <printOptions headings="false" gridLines="false" gridLinesSet="true" horizontalCentered="false" verticalCentered="false"/>
  <pageMargins left="0.4" right="0.4" top="0.5" bottom="0.5"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&amp;L&amp;8 &amp;K6b6157Back of House - Recipes and Costing&amp;R&amp;8 &amp;K6b6157backofhouseco.com</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U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0"/>
    <col collapsed="false" customWidth="true" hidden="false" outlineLevel="0" max="4" min="2" style="1" width="17"/>
    <col collapsed="false" customWidth="true" hidden="false" outlineLevel="0" max="5" min="5" style="1" width="62"/>
    <col collapsed="false" customWidth="true" hidden="true" outlineLevel="0" max="21" min="14" style="1" width="13"/>
  </cols>
  <sheetData>
    <row r="1" customFormat="false" ht="18" hidden="false" customHeight="true" outlineLevel="0" collapsed="false">
      <c r="A1" s="12" t="s">
        <v>14</v>
      </c>
    </row>
    <row r="2" customFormat="false" ht="15" hidden="false" customHeight="true" outlineLevel="0" collapsed="false">
      <c r="A2" s="13" t="s">
        <v>59</v>
      </c>
      <c r="B2" s="13"/>
      <c r="C2" s="13"/>
      <c r="D2" s="13"/>
      <c r="E2" s="13"/>
    </row>
    <row r="3" customFormat="false" ht="15" hidden="false" customHeight="true" outlineLevel="0" collapsed="false">
      <c r="N3" s="14" t="s">
        <v>60</v>
      </c>
    </row>
    <row r="4" customFormat="false" ht="15" hidden="false" customHeight="true" outlineLevel="0" collapsed="false">
      <c r="A4" s="15" t="s">
        <v>61</v>
      </c>
      <c r="B4" s="8"/>
      <c r="C4" s="8"/>
      <c r="D4" s="8"/>
      <c r="E4" s="8"/>
      <c r="N4" s="16" t="s">
        <v>62</v>
      </c>
      <c r="O4" s="16" t="s">
        <v>63</v>
      </c>
      <c r="P4" s="16" t="n">
        <v>0.09</v>
      </c>
      <c r="Q4" s="16" t="n">
        <v>375000</v>
      </c>
      <c r="R4" s="16" t="n">
        <v>0.0575</v>
      </c>
      <c r="S4" s="16" t="n">
        <v>0</v>
      </c>
      <c r="T4" s="16" t="n">
        <v>0.05</v>
      </c>
      <c r="U4" s="16" t="s">
        <v>64</v>
      </c>
    </row>
    <row r="5" customFormat="false" ht="15" hidden="false" customHeight="true" outlineLevel="0" collapsed="false">
      <c r="A5" s="17" t="s">
        <v>65</v>
      </c>
      <c r="B5" s="18" t="s">
        <v>66</v>
      </c>
      <c r="N5" s="16" t="s">
        <v>67</v>
      </c>
      <c r="O5" s="16" t="s">
        <v>68</v>
      </c>
      <c r="P5" s="16" t="n">
        <v>0.025</v>
      </c>
      <c r="Q5" s="16" t="n">
        <v>0</v>
      </c>
      <c r="R5" s="16" t="n">
        <v>0.0411</v>
      </c>
      <c r="S5" s="16" t="n">
        <v>0.02</v>
      </c>
      <c r="T5" s="16" t="n">
        <v>0.15</v>
      </c>
      <c r="U5" s="16" t="s">
        <v>69</v>
      </c>
    </row>
    <row r="6" customFormat="false" ht="15" hidden="false" customHeight="true" outlineLevel="0" collapsed="false">
      <c r="N6" s="16" t="s">
        <v>70</v>
      </c>
      <c r="O6" s="16" t="s">
        <v>71</v>
      </c>
      <c r="P6" s="16" t="n">
        <v>0</v>
      </c>
      <c r="Q6" s="16" t="n">
        <v>0</v>
      </c>
      <c r="R6" s="16" t="n">
        <v>0.0575</v>
      </c>
      <c r="S6" s="16" t="n">
        <v>0</v>
      </c>
      <c r="T6" s="16" t="n">
        <v>0</v>
      </c>
      <c r="U6" s="16" t="s">
        <v>72</v>
      </c>
    </row>
    <row r="7" customFormat="false" ht="15" hidden="false" customHeight="true" outlineLevel="0" collapsed="false">
      <c r="A7" s="15" t="s">
        <v>73</v>
      </c>
      <c r="B7" s="8"/>
      <c r="C7" s="8"/>
      <c r="D7" s="8"/>
      <c r="E7" s="8"/>
      <c r="N7" s="16" t="s">
        <v>74</v>
      </c>
      <c r="O7" s="16" t="s">
        <v>75</v>
      </c>
      <c r="P7" s="16" t="n">
        <v>0</v>
      </c>
      <c r="Q7" s="16" t="n">
        <v>0</v>
      </c>
      <c r="R7" s="16" t="n">
        <v>0.0411</v>
      </c>
      <c r="S7" s="16" t="n">
        <v>0</v>
      </c>
      <c r="T7" s="16" t="n">
        <v>0</v>
      </c>
      <c r="U7" s="16" t="s">
        <v>76</v>
      </c>
    </row>
    <row r="8" customFormat="false" ht="15" hidden="false" customHeight="true" outlineLevel="0" collapsed="false">
      <c r="A8" s="19" t="s">
        <v>77</v>
      </c>
      <c r="B8" s="20" t="s">
        <v>62</v>
      </c>
      <c r="E8" s="21" t="s">
        <v>78</v>
      </c>
      <c r="N8" s="16" t="s">
        <v>79</v>
      </c>
      <c r="O8" s="16" t="s">
        <v>80</v>
      </c>
      <c r="P8" s="16" t="n">
        <v>0</v>
      </c>
      <c r="Q8" s="16" t="n">
        <v>0</v>
      </c>
      <c r="R8" s="16" t="n">
        <v>0.042</v>
      </c>
      <c r="S8" s="16" t="n">
        <v>0.03</v>
      </c>
      <c r="T8" s="16" t="n">
        <v>0.1</v>
      </c>
      <c r="U8" s="16" t="s">
        <v>81</v>
      </c>
    </row>
    <row r="9" customFormat="false" ht="15" hidden="false" customHeight="true" outlineLevel="0" collapsed="false">
      <c r="N9" s="16" t="s">
        <v>82</v>
      </c>
      <c r="O9" s="16" t="s">
        <v>83</v>
      </c>
      <c r="P9" s="16" t="n">
        <v>0.15</v>
      </c>
      <c r="Q9" s="16" t="n">
        <v>0</v>
      </c>
      <c r="R9" s="16" t="n">
        <v>0.0822</v>
      </c>
      <c r="S9" s="16" t="n">
        <v>0.145</v>
      </c>
      <c r="T9" s="16" t="n">
        <v>0.05</v>
      </c>
      <c r="U9" s="16" t="s">
        <v>84</v>
      </c>
    </row>
    <row r="10" customFormat="false" ht="15" hidden="false" customHeight="true" outlineLevel="0" collapsed="false">
      <c r="A10" s="22"/>
      <c r="B10" s="23" t="s">
        <v>85</v>
      </c>
      <c r="C10" s="23" t="s">
        <v>86</v>
      </c>
      <c r="D10" s="23" t="s">
        <v>87</v>
      </c>
      <c r="N10" s="16" t="s">
        <v>88</v>
      </c>
      <c r="O10" s="16" t="s">
        <v>89</v>
      </c>
      <c r="P10" s="16" t="n">
        <v>0.225</v>
      </c>
      <c r="Q10" s="16" t="n">
        <v>0</v>
      </c>
      <c r="R10" s="16" t="n">
        <v>0</v>
      </c>
      <c r="S10" s="16" t="n">
        <v>0.1875</v>
      </c>
      <c r="T10" s="16" t="n">
        <v>0.14</v>
      </c>
      <c r="U10" s="16" t="s">
        <v>90</v>
      </c>
    </row>
    <row r="11" customFormat="false" ht="15" hidden="false" customHeight="true" outlineLevel="0" collapsed="false">
      <c r="A11" s="24" t="s">
        <v>91</v>
      </c>
      <c r="B11" s="25" t="str">
        <f aca="false">IFERROR(INDEX($O$4:$O$14,MATCH($B$8,$N$4:$N$14,0)),"")</f>
        <v>AED</v>
      </c>
      <c r="C11" s="26"/>
      <c r="D11" s="27" t="str">
        <f aca="false">IF($C$11="",$B$11,$C$11)</f>
        <v>AED</v>
      </c>
      <c r="E11" s="21" t="s">
        <v>92</v>
      </c>
      <c r="N11" s="16" t="s">
        <v>93</v>
      </c>
      <c r="O11" s="16" t="s">
        <v>94</v>
      </c>
      <c r="P11" s="16" t="n">
        <v>0.21</v>
      </c>
      <c r="Q11" s="16" t="n">
        <v>0</v>
      </c>
      <c r="R11" s="16" t="n">
        <v>0</v>
      </c>
      <c r="S11" s="16" t="n">
        <v>0.1425</v>
      </c>
      <c r="T11" s="16" t="n">
        <v>0.16</v>
      </c>
      <c r="U11" s="16" t="s">
        <v>95</v>
      </c>
    </row>
    <row r="12" customFormat="false" ht="15" hidden="false" customHeight="true" outlineLevel="0" collapsed="false">
      <c r="A12" s="24" t="s">
        <v>96</v>
      </c>
      <c r="B12" s="28" t="n">
        <f aca="false">IFERROR(INDEX($T$4:$T$14,MATCH($B$8,$N$4:$N$14,0)),"")</f>
        <v>0.05</v>
      </c>
      <c r="C12" s="29"/>
      <c r="D12" s="30" t="n">
        <f aca="false">IF($C$12="",$B$12,$C$12)</f>
        <v>0.05</v>
      </c>
      <c r="E12" s="21" t="s">
        <v>97</v>
      </c>
      <c r="N12" s="16" t="s">
        <v>98</v>
      </c>
      <c r="O12" s="16" t="s">
        <v>99</v>
      </c>
      <c r="P12" s="16" t="n">
        <v>0.19</v>
      </c>
      <c r="Q12" s="16" t="n">
        <v>50000</v>
      </c>
      <c r="R12" s="16" t="n">
        <v>0</v>
      </c>
      <c r="S12" s="16" t="n">
        <v>0.15</v>
      </c>
      <c r="T12" s="16" t="n">
        <v>0.2</v>
      </c>
      <c r="U12" s="16" t="s">
        <v>100</v>
      </c>
    </row>
    <row r="13" customFormat="false" ht="15" hidden="false" customHeight="true" outlineLevel="0" collapsed="false">
      <c r="N13" s="16" t="s">
        <v>101</v>
      </c>
      <c r="O13" s="16" t="s">
        <v>102</v>
      </c>
      <c r="P13" s="16" t="n">
        <v>0.21</v>
      </c>
      <c r="Q13" s="16" t="n">
        <v>0</v>
      </c>
      <c r="R13" s="16" t="n">
        <v>0</v>
      </c>
      <c r="S13" s="16" t="n">
        <v>0.0765</v>
      </c>
      <c r="T13" s="16" t="n">
        <v>0.075</v>
      </c>
      <c r="U13" s="16" t="s">
        <v>103</v>
      </c>
    </row>
    <row r="14" customFormat="false" ht="57.75" hidden="false" customHeight="true" outlineLevel="0" collapsed="false">
      <c r="A14" s="31" t="str">
        <f aca="false">IFERROR(INDEX($U$4:$U$14,MATCH($B$8,$N$4:$N$14,0)),"")</f>
        <v>Corporate tax is 9% on profit above AED 375,000. If your revenue is under AED 3 million you may be able to elect out of it altogether under Small Business Relief - worth one question to your accountant. End-of-service is 21 days of basic wage a year. Expatriate staff carry no employer social security; UAE nationals carry 12.5%, and 15% in Abu Dhabi.</v>
      </c>
      <c r="B14" s="31"/>
      <c r="C14" s="31"/>
      <c r="D14" s="31"/>
      <c r="E14" s="31"/>
      <c r="N14" s="16" t="s">
        <v>104</v>
      </c>
      <c r="O14" s="16" t="s">
        <v>63</v>
      </c>
      <c r="P14" s="16" t="n">
        <v>0</v>
      </c>
      <c r="Q14" s="16" t="n">
        <v>0</v>
      </c>
      <c r="R14" s="16" t="n">
        <v>0</v>
      </c>
      <c r="S14" s="16" t="n">
        <v>0</v>
      </c>
      <c r="T14" s="16" t="n">
        <v>0</v>
      </c>
      <c r="U14" s="16" t="s">
        <v>105</v>
      </c>
    </row>
    <row r="15" customFormat="false" ht="30" hidden="false" customHeight="true" outlineLevel="0" collapsed="false">
      <c r="A15" s="13" t="s">
        <v>106</v>
      </c>
      <c r="B15" s="13"/>
      <c r="C15" s="13"/>
      <c r="D15" s="13"/>
      <c r="E15" s="13"/>
    </row>
    <row r="16" customFormat="false" ht="39.75" hidden="false" customHeight="true" outlineLevel="0" collapsed="false">
      <c r="A16" s="13" t="s">
        <v>107</v>
      </c>
      <c r="B16" s="13"/>
      <c r="C16" s="13"/>
      <c r="D16" s="13"/>
      <c r="E16" s="13"/>
    </row>
    <row r="17" customFormat="false" ht="15" hidden="false" customHeight="true" outlineLevel="0" collapsed="false">
      <c r="A17" s="15" t="s">
        <v>108</v>
      </c>
      <c r="B17" s="8"/>
      <c r="C17" s="8"/>
      <c r="D17" s="8"/>
      <c r="E17" s="8"/>
    </row>
    <row r="18" customFormat="false" ht="15" hidden="false" customHeight="true" outlineLevel="0" collapsed="false">
      <c r="A18" s="17" t="s">
        <v>109</v>
      </c>
      <c r="B18" s="32" t="n">
        <v>0.65</v>
      </c>
      <c r="E18" s="21" t="s">
        <v>110</v>
      </c>
    </row>
    <row r="19" customFormat="false" ht="15" hidden="false" customHeight="true" outlineLevel="0" collapsed="false">
      <c r="A19" s="17" t="s">
        <v>111</v>
      </c>
      <c r="B19" s="32" t="n">
        <v>0.8</v>
      </c>
      <c r="E19" s="21" t="s">
        <v>112</v>
      </c>
    </row>
    <row r="20" customFormat="false" ht="15" hidden="false" customHeight="true" outlineLevel="0" collapsed="false">
      <c r="A20" s="17" t="s">
        <v>113</v>
      </c>
      <c r="B20" s="32" t="n">
        <v>0.65</v>
      </c>
      <c r="E20" s="21" t="s">
        <v>114</v>
      </c>
    </row>
    <row r="21" customFormat="false" ht="15" hidden="false" customHeight="true" outlineLevel="0" collapsed="false">
      <c r="A21" s="17" t="s">
        <v>115</v>
      </c>
      <c r="B21" s="32" t="n">
        <v>0.4</v>
      </c>
      <c r="E21" s="21" t="s">
        <v>116</v>
      </c>
    </row>
    <row r="22" customFormat="false" ht="27.75" hidden="false" customHeight="true" outlineLevel="0" collapsed="false">
      <c r="A22" s="13" t="s">
        <v>117</v>
      </c>
      <c r="B22" s="13"/>
      <c r="C22" s="13"/>
      <c r="D22" s="13"/>
      <c r="E22" s="13"/>
    </row>
    <row r="23" customFormat="false" ht="15" hidden="false" customHeight="true" outlineLevel="0" collapsed="false">
      <c r="A23" s="15" t="s">
        <v>118</v>
      </c>
      <c r="B23" s="8"/>
      <c r="C23" s="8"/>
      <c r="D23" s="8"/>
      <c r="E23" s="8"/>
    </row>
    <row r="24" customFormat="false" ht="19.5" hidden="false" customHeight="true" outlineLevel="0" collapsed="false">
      <c r="A24" s="33" t="s">
        <v>119</v>
      </c>
      <c r="B24" s="34" t="s">
        <v>120</v>
      </c>
      <c r="C24" s="34" t="s">
        <v>121</v>
      </c>
      <c r="D24" s="34"/>
      <c r="E24" s="34"/>
    </row>
    <row r="25" customFormat="false" ht="15" hidden="false" customHeight="true" outlineLevel="0" collapsed="false">
      <c r="A25" s="24" t="s">
        <v>122</v>
      </c>
      <c r="B25" s="26" t="s">
        <v>123</v>
      </c>
      <c r="C25" s="29" t="n">
        <v>0.27</v>
      </c>
      <c r="E25" s="21" t="s">
        <v>124</v>
      </c>
    </row>
    <row r="31" customFormat="false" ht="15" hidden="false" customHeight="true" outlineLevel="0" collapsed="false">
      <c r="A31" s="17" t="s">
        <v>125</v>
      </c>
      <c r="B31" s="35" t="n">
        <v>1.2</v>
      </c>
      <c r="E31" s="21" t="s">
        <v>126</v>
      </c>
    </row>
    <row r="33" customFormat="false" ht="39.75" hidden="false" customHeight="true" outlineLevel="0" collapsed="false">
      <c r="A33" s="13" t="s">
        <v>127</v>
      </c>
      <c r="B33" s="13"/>
      <c r="C33" s="13"/>
      <c r="D33" s="13"/>
      <c r="E33" s="13"/>
    </row>
    <row r="34" customFormat="false" ht="30" hidden="false" customHeight="true" outlineLevel="0" collapsed="false">
      <c r="A34" s="13" t="s">
        <v>128</v>
      </c>
      <c r="B34" s="13"/>
      <c r="C34" s="13"/>
      <c r="D34" s="13"/>
      <c r="E34" s="13"/>
    </row>
  </sheetData>
  <sheetProtection sheet="true" password="b7e1" objects="true" scenarios="true" formatCells="false" formatColumns="false" formatRows="false" sort="false" autoFilter="false"/>
  <mergeCells count="7">
    <mergeCell ref="A2:E2"/>
    <mergeCell ref="A14:E14"/>
    <mergeCell ref="A15:E15"/>
    <mergeCell ref="A16:E16"/>
    <mergeCell ref="A22:E22"/>
    <mergeCell ref="A33:E33"/>
    <mergeCell ref="A34:E34"/>
  </mergeCells>
  <dataValidations count="1">
    <dataValidation allowBlank="false" errorStyle="stop" operator="between" showDropDown="false" showErrorMessage="false" showInputMessage="false" sqref="B8" type="list">
      <formula1>$N$4:$N$14</formula1>
      <formula2>0</formula2>
    </dataValidation>
  </dataValidations>
  <printOptions headings="false" gridLines="false" gridLinesSet="true" horizontalCentered="false" verticalCentered="false"/>
  <pageMargins left="0.4" right="0.4" top="0.5" bottom="0.5"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&amp;L&amp;8 &amp;K6b6157Back of House - Recipes and Costing&amp;R&amp;8 &amp;K6b6157backofhouseco.com</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2:M3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30"/>
    <col collapsed="false" customWidth="true" hidden="false" outlineLevel="0" max="3" min="3" style="1" width="15"/>
    <col collapsed="false" customWidth="true" hidden="false" outlineLevel="0" max="4" min="4" style="1" width="10"/>
    <col collapsed="false" customWidth="true" hidden="false" outlineLevel="0" max="6" min="5" style="1" width="12"/>
    <col collapsed="false" customWidth="true" hidden="false" outlineLevel="0" max="7" min="7" style="1" width="11"/>
    <col collapsed="false" customWidth="true" hidden="false" outlineLevel="0" max="9" min="8" style="1" width="9"/>
    <col collapsed="false" customWidth="true" hidden="false" outlineLevel="0" max="10" min="10" style="1" width="16"/>
    <col collapsed="false" customWidth="true" hidden="false" outlineLevel="0" max="11" min="11" style="1" width="11"/>
    <col collapsed="false" customWidth="true" hidden="false" outlineLevel="0" max="12" min="12" style="1" width="16"/>
    <col collapsed="false" customWidth="true" hidden="false" outlineLevel="0" max="13" min="13" style="1" width="40"/>
  </cols>
  <sheetData>
    <row r="2" customFormat="false" ht="27" hidden="false" customHeight="true" outlineLevel="0" collapsed="false"/>
    <row r="3" customFormat="false" ht="27" hidden="false" customHeight="true" outlineLevel="0" collapsed="false"/>
    <row r="4" customFormat="false" ht="27" hidden="false" customHeight="true" outlineLevel="0" collapsed="false"/>
    <row r="5" customFormat="false" ht="27" hidden="false" customHeight="true" outlineLevel="0" collapsed="false"/>
    <row r="6" customFormat="false" ht="21.75" hidden="false" customHeight="true" outlineLevel="0" collapsed="false">
      <c r="B6" s="36" t="str">
        <f aca="false">Settings!$B$5&amp;" - menu margins"</f>
        <v>Your cafe - menu margins</v>
      </c>
    </row>
    <row r="7" customFormat="false" ht="15" hidden="false" customHeight="true" outlineLevel="0" collapsed="false">
      <c r="B7" s="37" t="str">
        <f aca="false">"All 8 items. Everything here is calculated. Margins are worked out on the price EXCLUDING VAT, in "&amp;Settings!$D$11&amp;"."</f>
        <v>All 8 items. Everything here is calculated. Margins are worked out on the price EXCLUDING VAT, in AED.</v>
      </c>
    </row>
    <row r="9" customFormat="false" ht="15" hidden="false" customHeight="true" outlineLevel="0" collapsed="false">
      <c r="B9" s="15" t="s">
        <v>129</v>
      </c>
      <c r="C9" s="8"/>
      <c r="D9" s="8"/>
      <c r="E9" s="8"/>
      <c r="F9" s="8"/>
      <c r="G9" s="8"/>
      <c r="H9" s="8"/>
      <c r="I9" s="8"/>
      <c r="J9" s="8"/>
      <c r="K9" s="8"/>
      <c r="L9" s="8"/>
      <c r="M9" s="8"/>
    </row>
    <row r="11" customFormat="false" ht="19.5" hidden="false" customHeight="true" outlineLevel="0" collapsed="false">
      <c r="B11" s="38" t="s">
        <v>130</v>
      </c>
      <c r="E11" s="39" t="str">
        <f aca="false">COUNTIF($J$20:$J$27,"On target")&amp;" of 8"</f>
        <v>5 of 8</v>
      </c>
    </row>
    <row r="12" customFormat="false" ht="19.5" hidden="false" customHeight="true" outlineLevel="0" collapsed="false">
      <c r="B12" s="38" t="s">
        <v>131</v>
      </c>
      <c r="E12" s="39" t="str">
        <f aca="false">COUNTIF($L$20:$L$27,"On target")&amp;" of 8"</f>
        <v>5 of 8</v>
      </c>
    </row>
    <row r="13" customFormat="false" ht="19.5" hidden="false" customHeight="true" outlineLevel="0" collapsed="false">
      <c r="B13" s="38" t="s">
        <v>132</v>
      </c>
      <c r="E13" s="39" t="str">
        <f aca="false">COUNTIF($K$20:$K$27,"&lt;0")&amp;" of 8"</f>
        <v>0 of 8</v>
      </c>
    </row>
    <row r="14" customFormat="false" ht="19.5" hidden="false" customHeight="true" outlineLevel="0" collapsed="false">
      <c r="B14" s="38" t="s">
        <v>133</v>
      </c>
      <c r="E14" s="40" t="n">
        <f aca="false">IFERROR(SUM($G$20:$G$27)/SUM($F$20:$F$27),0)</f>
        <v>0.739279798600139</v>
      </c>
    </row>
    <row r="16" customFormat="false" ht="30" hidden="false" customHeight="true" outlineLevel="0" collapsed="false">
      <c r="B16" s="41" t="str">
        <f aca="false">IF(COUNTIF($K$20:$K$27,"&lt;0")&gt;0,"Some items LOSE money on an app. Fix those first - they are named in red below and every order of them makes you poorer.",IF(COUNTIF($J$20:$J$27,"On target")&lt;8*0.6,"Most of the menu misses its counter target. That is a pricing decision nobody has made yet, not a cost problem.","The menu broadly works. Go down the red rows below and fix them one at a time."))</f>
        <v>The menu broadly works. Go down the red rows below and fix them one at a time.</v>
      </c>
      <c r="C16" s="41"/>
      <c r="D16" s="41"/>
      <c r="E16" s="41"/>
      <c r="F16" s="41"/>
      <c r="G16" s="41"/>
      <c r="H16" s="41"/>
      <c r="I16" s="41"/>
      <c r="J16" s="41"/>
      <c r="K16" s="41"/>
      <c r="L16" s="41"/>
      <c r="M16" s="41"/>
    </row>
    <row r="18" customFormat="false" ht="15" hidden="false" customHeight="true" outlineLevel="0" collapsed="false">
      <c r="B18" s="15" t="s">
        <v>134</v>
      </c>
      <c r="C18" s="8"/>
      <c r="D18" s="8"/>
      <c r="E18" s="8"/>
      <c r="F18" s="8"/>
      <c r="G18" s="8"/>
      <c r="H18" s="8"/>
      <c r="I18" s="8"/>
      <c r="J18" s="8"/>
      <c r="K18" s="8"/>
      <c r="L18" s="8"/>
      <c r="M18" s="8"/>
    </row>
    <row r="19" customFormat="false" ht="30" hidden="false" customHeight="true" outlineLevel="0" collapsed="false">
      <c r="A19" s="33"/>
      <c r="B19" s="33" t="s">
        <v>135</v>
      </c>
      <c r="C19" s="34" t="s">
        <v>136</v>
      </c>
      <c r="D19" s="34" t="s">
        <v>137</v>
      </c>
      <c r="E19" s="34" t="s">
        <v>138</v>
      </c>
      <c r="F19" s="34" t="s">
        <v>139</v>
      </c>
      <c r="G19" s="34" t="s">
        <v>140</v>
      </c>
      <c r="H19" s="34" t="s">
        <v>141</v>
      </c>
      <c r="I19" s="34" t="s">
        <v>142</v>
      </c>
      <c r="J19" s="34" t="s">
        <v>143</v>
      </c>
      <c r="K19" s="34" t="s">
        <v>144</v>
      </c>
      <c r="L19" s="34" t="s">
        <v>145</v>
      </c>
      <c r="M19" s="34" t="s">
        <v>146</v>
      </c>
    </row>
    <row r="20" customFormat="false" ht="25.5" hidden="false" customHeight="true" outlineLevel="0" collapsed="false">
      <c r="B20" s="42" t="str">
        <f aca="false">'Recipes - Core'!$B$6</f>
        <v>Halloumi and Zaatar Sandwich</v>
      </c>
      <c r="C20" s="43" t="str">
        <f aca="false">'Recipes - Core'!$B$8</f>
        <v>Food</v>
      </c>
      <c r="D20" s="44" t="n">
        <f aca="false">'Recipes - Core'!$E$25</f>
        <v>6.45804347826087</v>
      </c>
      <c r="E20" s="44" t="n">
        <f aca="false">'Recipes - Core'!$E$27</f>
        <v>24</v>
      </c>
      <c r="F20" s="45" t="n">
        <f aca="false">IFERROR($E20/(1+Settings!$D$12),0)</f>
        <v>22.8571428571429</v>
      </c>
      <c r="G20" s="46" t="n">
        <f aca="false">IFERROR($F20-$D20,0)</f>
        <v>16.399099378882</v>
      </c>
      <c r="H20" s="47" t="n">
        <f aca="false">IFERROR($G20/$F20,0)</f>
        <v>0.717460597826087</v>
      </c>
      <c r="I20" s="48" t="n">
        <f aca="false">IF($C20="Coffee &amp; Tea",Settings!$B$19,IF($C20="Juice &amp; Smoothie",Settings!$B$20,Settings!$B$18))</f>
        <v>0.65</v>
      </c>
      <c r="J20" s="49" t="str">
        <f aca="false">IF($F20=0,"",IF($H20&gt;=$I20,"On target","BELOW TARGET"))</f>
        <v>On target</v>
      </c>
      <c r="K20" s="47" t="n">
        <f aca="false">MIN('Platform Pricing'!$L$7)</f>
        <v>0.419968478260869</v>
      </c>
      <c r="L20" s="49" t="str">
        <f aca="false">IF($K20=0,"",IF($K20&gt;=Settings!$B$21,"On target","BELOW TARGET"))</f>
        <v>On target</v>
      </c>
      <c r="M20" s="50" t="str">
        <f aca="false">IF(MIN('Platform Pricing'!$K$7)&lt;0,"LOSES MONEY on at least one app - fix this today",IF(AND($J20="On target",$L20="On target"),"",IF($J20&lt;&gt;"On target","Counter margin short - check the portion weight first, then the two dearest lines in the recipe","Delivery margin short - raise the app price, make a smaller delivery portion, or delist it")))</f>
        <v/>
      </c>
    </row>
    <row r="21" customFormat="false" ht="25.5" hidden="false" customHeight="true" outlineLevel="0" collapsed="false">
      <c r="B21" s="42" t="str">
        <f aca="false">'Recipes - Core'!$B$33</f>
        <v>Chicken Avocado Sandwich</v>
      </c>
      <c r="C21" s="43" t="str">
        <f aca="false">'Recipes - Core'!$B$35</f>
        <v>Food</v>
      </c>
      <c r="D21" s="44" t="n">
        <f aca="false">'Recipes - Core'!$E$52</f>
        <v>10.614406245928</v>
      </c>
      <c r="E21" s="44" t="n">
        <f aca="false">'Recipes - Core'!$E$54</f>
        <v>30</v>
      </c>
      <c r="F21" s="45" t="n">
        <f aca="false">IFERROR($E21/(1+Settings!$D$12),0)</f>
        <v>28.5714285714286</v>
      </c>
      <c r="G21" s="46" t="n">
        <f aca="false">IFERROR($F21-$D21,0)</f>
        <v>17.9570223255006</v>
      </c>
      <c r="H21" s="47" t="n">
        <f aca="false">IFERROR($G21/$F21,0)</f>
        <v>0.628495781392521</v>
      </c>
      <c r="I21" s="48" t="n">
        <f aca="false">IF($C21="Coffee &amp; Tea",Settings!$B$19,IF($C21="Juice &amp; Smoothie",Settings!$B$20,Settings!$B$18))</f>
        <v>0.65</v>
      </c>
      <c r="J21" s="49" t="str">
        <f aca="false">IF($F21=0,"",IF($H21&gt;=$I21,"On target","BELOW TARGET"))</f>
        <v>BELOW TARGET</v>
      </c>
      <c r="K21" s="47" t="n">
        <f aca="false">MIN('Platform Pricing'!$L$8)</f>
        <v>0.370391406362516</v>
      </c>
      <c r="L21" s="49" t="str">
        <f aca="false">IF($K21=0,"",IF($K21&gt;=Settings!$B$21,"On target","BELOW TARGET"))</f>
        <v>BELOW TARGET</v>
      </c>
      <c r="M21" s="50" t="str">
        <f aca="false">IF(MIN('Platform Pricing'!$K$8)&lt;0,"LOSES MONEY on at least one app - fix this today",IF(AND($J21="On target",$L21="On target"),"",IF($J21&lt;&gt;"On target","Counter margin short - check the portion weight first, then the two dearest lines in the recipe","Delivery margin short - raise the app price, make a smaller delivery portion, or delist it")))</f>
        <v>Counter margin short - check the portion weight first, then the two dearest lines in the recipe</v>
      </c>
    </row>
    <row r="22" customFormat="false" ht="25.5" hidden="false" customHeight="true" outlineLevel="0" collapsed="false">
      <c r="B22" s="42" t="str">
        <f aca="false">'Recipes - Core'!$B$60</f>
        <v>Smoked Turkey Club</v>
      </c>
      <c r="C22" s="43" t="str">
        <f aca="false">'Recipes - Core'!$B$62</f>
        <v>Food</v>
      </c>
      <c r="D22" s="44" t="n">
        <f aca="false">'Recipes - Core'!$E$79</f>
        <v>11.6114437012263</v>
      </c>
      <c r="E22" s="44" t="n">
        <f aca="false">'Recipes - Core'!$E$81</f>
        <v>34</v>
      </c>
      <c r="F22" s="45" t="n">
        <f aca="false">IFERROR($E22/(1+Settings!$D$12),0)</f>
        <v>32.3809523809524</v>
      </c>
      <c r="G22" s="46" t="n">
        <f aca="false">IFERROR($F22-$D22,0)</f>
        <v>20.7695086797261</v>
      </c>
      <c r="H22" s="47" t="n">
        <f aca="false">IFERROR($G22/$F22,0)</f>
        <v>0.641411297462129</v>
      </c>
      <c r="I22" s="48" t="n">
        <f aca="false">IF($C22="Coffee &amp; Tea",Settings!$B$19,IF($C22="Juice &amp; Smoothie",Settings!$B$20,Settings!$B$18))</f>
        <v>0.65</v>
      </c>
      <c r="J22" s="49" t="str">
        <f aca="false">IF($F22=0,"",IF($H22&gt;=$I22,"On target","BELOW TARGET"))</f>
        <v>BELOW TARGET</v>
      </c>
      <c r="K22" s="47" t="n">
        <f aca="false">MIN('Platform Pricing'!$L$9)</f>
        <v>0.379713907469342</v>
      </c>
      <c r="L22" s="49" t="str">
        <f aca="false">IF($K22=0,"",IF($K22&gt;=Settings!$B$21,"On target","BELOW TARGET"))</f>
        <v>BELOW TARGET</v>
      </c>
      <c r="M22" s="50" t="str">
        <f aca="false">IF(MIN('Platform Pricing'!$K$9)&lt;0,"LOSES MONEY on at least one app - fix this today",IF(AND($J22="On target",$L22="On target"),"",IF($J22&lt;&gt;"On target","Counter margin short - check the portion weight first, then the two dearest lines in the recipe","Delivery margin short - raise the app price, make a smaller delivery portion, or delist it")))</f>
        <v>Counter margin short - check the portion weight first, then the two dearest lines in the recipe</v>
      </c>
    </row>
    <row r="23" customFormat="false" ht="25.5" hidden="false" customHeight="true" outlineLevel="0" collapsed="false">
      <c r="B23" s="42" t="str">
        <f aca="false">'Recipes - Core'!$B$87</f>
        <v>Labneh and Cucumber Croissant</v>
      </c>
      <c r="C23" s="43" t="str">
        <f aca="false">'Recipes - Core'!$B$89</f>
        <v>Food</v>
      </c>
      <c r="D23" s="44" t="n">
        <f aca="false">'Recipes - Core'!$E$106</f>
        <v>4.56263157894737</v>
      </c>
      <c r="E23" s="44" t="n">
        <f aca="false">'Recipes - Core'!$E$108</f>
        <v>22</v>
      </c>
      <c r="F23" s="45" t="n">
        <f aca="false">IFERROR($E23/(1+Settings!$D$12),0)</f>
        <v>20.952380952381</v>
      </c>
      <c r="G23" s="46" t="n">
        <f aca="false">IFERROR($F23-$D23,0)</f>
        <v>16.3897493734336</v>
      </c>
      <c r="H23" s="47" t="n">
        <f aca="false">IFERROR($G23/$F23,0)</f>
        <v>0.782238038277512</v>
      </c>
      <c r="I23" s="48" t="n">
        <f aca="false">IF($C23="Coffee &amp; Tea",Settings!$B$19,IF($C23="Juice &amp; Smoothie",Settings!$B$20,Settings!$B$18))</f>
        <v>0.65</v>
      </c>
      <c r="J23" s="49" t="str">
        <f aca="false">IF($F23=0,"",IF($H23&gt;=$I23,"On target","BELOW TARGET"))</f>
        <v>On target</v>
      </c>
      <c r="K23" s="47" t="n">
        <f aca="false">MIN('Platform Pricing'!$L$10)</f>
        <v>0.468901315789474</v>
      </c>
      <c r="L23" s="49" t="str">
        <f aca="false">IF($K23=0,"",IF($K23&gt;=Settings!$B$21,"On target","BELOW TARGET"))</f>
        <v>On target</v>
      </c>
      <c r="M23" s="50" t="str">
        <f aca="false">IF(MIN('Platform Pricing'!$K$10)&lt;0,"LOSES MONEY on at least one app - fix this today",IF(AND($J23="On target",$L23="On target"),"",IF($J23&lt;&gt;"On target","Counter margin short - check the portion weight first, then the two dearest lines in the recipe","Delivery margin short - raise the app price, make a smaller delivery portion, or delist it")))</f>
        <v/>
      </c>
    </row>
    <row r="24" customFormat="false" ht="25.5" hidden="false" customHeight="true" outlineLevel="0" collapsed="false">
      <c r="B24" s="42" t="str">
        <f aca="false">'Recipes - Core'!$B$114</f>
        <v>Tuna Melt Sandwich</v>
      </c>
      <c r="C24" s="43" t="str">
        <f aca="false">'Recipes - Core'!$B$116</f>
        <v>Food</v>
      </c>
      <c r="D24" s="44" t="n">
        <f aca="false">'Recipes - Core'!$E$133</f>
        <v>10.9517567567568</v>
      </c>
      <c r="E24" s="44" t="n">
        <f aca="false">'Recipes - Core'!$E$135</f>
        <v>28</v>
      </c>
      <c r="F24" s="45" t="n">
        <f aca="false">IFERROR($E24/(1+Settings!$D$12),0)</f>
        <v>26.6666666666667</v>
      </c>
      <c r="G24" s="46" t="n">
        <f aca="false">IFERROR($F24-$D24,0)</f>
        <v>15.7149099099099</v>
      </c>
      <c r="H24" s="47" t="n">
        <f aca="false">IFERROR($G24/$F24,0)</f>
        <v>0.589309121621622</v>
      </c>
      <c r="I24" s="48" t="n">
        <f aca="false">IF($C24="Coffee &amp; Tea",Settings!$B$19,IF($C24="Juice &amp; Smoothie",Settings!$B$20,Settings!$B$18))</f>
        <v>0.65</v>
      </c>
      <c r="J24" s="49" t="str">
        <f aca="false">IF($F24=0,"",IF($H24&gt;=$I24,"On target","BELOW TARGET"))</f>
        <v>BELOW TARGET</v>
      </c>
      <c r="K24" s="47" t="n">
        <f aca="false">MIN('Platform Pricing'!$L$11)</f>
        <v>0.329447297297297</v>
      </c>
      <c r="L24" s="49" t="str">
        <f aca="false">IF($K24=0,"",IF($K24&gt;=Settings!$B$21,"On target","BELOW TARGET"))</f>
        <v>BELOW TARGET</v>
      </c>
      <c r="M24" s="50" t="str">
        <f aca="false">IF(MIN('Platform Pricing'!$K$11)&lt;0,"LOSES MONEY on at least one app - fix this today",IF(AND($J24="On target",$L24="On target"),"",IF($J24&lt;&gt;"On target","Counter margin short - check the portion weight first, then the two dearest lines in the recipe","Delivery margin short - raise the app price, make a smaller delivery portion, or delist it")))</f>
        <v>Counter margin short - check the portion weight first, then the two dearest lines in the recipe</v>
      </c>
    </row>
    <row r="25" customFormat="false" ht="25.5" hidden="false" customHeight="true" outlineLevel="0" collapsed="false">
      <c r="B25" s="42" t="str">
        <f aca="false">'Recipes - Sides'!$B$6</f>
        <v>French Fries</v>
      </c>
      <c r="C25" s="43" t="str">
        <f aca="false">'Recipes - Sides'!$B$8</f>
        <v>Food</v>
      </c>
      <c r="D25" s="44" t="n">
        <f aca="false">'Recipes - Sides'!$E$25</f>
        <v>0</v>
      </c>
      <c r="E25" s="44" t="n">
        <f aca="false">'Recipes - Sides'!$E$27</f>
        <v>16</v>
      </c>
      <c r="F25" s="45" t="n">
        <f aca="false">IFERROR($E25/(1+Settings!$D$12),0)</f>
        <v>15.2380952380952</v>
      </c>
      <c r="G25" s="46" t="n">
        <f aca="false">IFERROR($F25-$D25,0)</f>
        <v>15.2380952380952</v>
      </c>
      <c r="H25" s="47" t="n">
        <f aca="false">IFERROR($G25/$F25,0)</f>
        <v>1</v>
      </c>
      <c r="I25" s="48" t="n">
        <f aca="false">IF($C25="Coffee &amp; Tea",Settings!$B$19,IF($C25="Juice &amp; Smoothie",Settings!$B$20,Settings!$B$18))</f>
        <v>0.65</v>
      </c>
      <c r="J25" s="49" t="str">
        <f aca="false">IF($F25=0,"",IF($H25&gt;=$I25,"On target","BELOW TARGET"))</f>
        <v>On target</v>
      </c>
      <c r="K25" s="47" t="n">
        <f aca="false">MIN('Platform Pricing'!$L$12)</f>
        <v>0.63025</v>
      </c>
      <c r="L25" s="49" t="str">
        <f aca="false">IF($K25=0,"",IF($K25&gt;=Settings!$B$21,"On target","BELOW TARGET"))</f>
        <v>On target</v>
      </c>
      <c r="M25" s="50" t="str">
        <f aca="false">IF(MIN('Platform Pricing'!$K$12)&lt;0,"LOSES MONEY on at least one app - fix this today",IF(AND($J25="On target",$L25="On target"),"",IF($J25&lt;&gt;"On target","Counter margin short - check the portion weight first, then the two dearest lines in the recipe","Delivery margin short - raise the app price, make a smaller delivery portion, or delist it")))</f>
        <v/>
      </c>
    </row>
    <row r="26" customFormat="false" ht="25.5" hidden="false" customHeight="true" outlineLevel="0" collapsed="false">
      <c r="B26" s="42" t="str">
        <f aca="false">'Recipes - Beverages'!$B$6</f>
        <v>Espresso</v>
      </c>
      <c r="C26" s="43" t="str">
        <f aca="false">'Recipes - Beverages'!$B$8</f>
        <v>Coffee &amp; Tea</v>
      </c>
      <c r="D26" s="44" t="n">
        <f aca="false">'Recipes - Beverages'!$E$25</f>
        <v>0</v>
      </c>
      <c r="E26" s="44" t="n">
        <f aca="false">'Recipes - Beverages'!$E$27</f>
        <v>11</v>
      </c>
      <c r="F26" s="45" t="n">
        <f aca="false">IFERROR($E26/(1+Settings!$D$12),0)</f>
        <v>10.4761904761905</v>
      </c>
      <c r="G26" s="46" t="n">
        <f aca="false">IFERROR($F26-$D26,0)</f>
        <v>10.4761904761905</v>
      </c>
      <c r="H26" s="47" t="n">
        <f aca="false">IFERROR($G26/$F26,0)</f>
        <v>1</v>
      </c>
      <c r="I26" s="48" t="n">
        <f aca="false">IF($C26="Coffee &amp; Tea",Settings!$B$19,IF($C26="Juice &amp; Smoothie",Settings!$B$20,Settings!$B$18))</f>
        <v>0.8</v>
      </c>
      <c r="J26" s="49" t="str">
        <f aca="false">IF($F26=0,"",IF($H26&gt;=$I26,"On target","BELOW TARGET"))</f>
        <v>On target</v>
      </c>
      <c r="K26" s="47" t="n">
        <f aca="false">MIN('Platform Pricing'!$L$13)</f>
        <v>0.59125</v>
      </c>
      <c r="L26" s="49" t="str">
        <f aca="false">IF($K26=0,"",IF($K26&gt;=Settings!$B$21,"On target","BELOW TARGET"))</f>
        <v>On target</v>
      </c>
      <c r="M26" s="50" t="str">
        <f aca="false">IF(MIN('Platform Pricing'!$K$13)&lt;0,"LOSES MONEY on at least one app - fix this today",IF(AND($J26="On target",$L26="On target"),"",IF($J26&lt;&gt;"On target","Counter margin short - check the portion weight first, then the two dearest lines in the recipe","Delivery margin short - raise the app price, make a smaller delivery portion, or delist it")))</f>
        <v/>
      </c>
    </row>
    <row r="27" customFormat="false" ht="25.5" hidden="false" customHeight="true" outlineLevel="0" collapsed="false">
      <c r="B27" s="42" t="str">
        <f aca="false">'Recipes - Beverages'!$B$33</f>
        <v>Double Espresso</v>
      </c>
      <c r="C27" s="43" t="str">
        <f aca="false">'Recipes - Beverages'!$B$35</f>
        <v>Coffee &amp; Tea</v>
      </c>
      <c r="D27" s="44" t="n">
        <f aca="false">'Recipes - Beverages'!$E$52</f>
        <v>0</v>
      </c>
      <c r="E27" s="44" t="n">
        <f aca="false">'Recipes - Beverages'!$E$54</f>
        <v>13</v>
      </c>
      <c r="F27" s="45" t="n">
        <f aca="false">IFERROR($E27/(1+Settings!$D$12),0)</f>
        <v>12.3809523809524</v>
      </c>
      <c r="G27" s="46" t="n">
        <f aca="false">IFERROR($F27-$D27,0)</f>
        <v>12.3809523809524</v>
      </c>
      <c r="H27" s="47" t="n">
        <f aca="false">IFERROR($G27/$F27,0)</f>
        <v>1</v>
      </c>
      <c r="I27" s="48" t="n">
        <f aca="false">IF($C27="Coffee &amp; Tea",Settings!$B$19,IF($C27="Juice &amp; Smoothie",Settings!$B$20,Settings!$B$18))</f>
        <v>0.8</v>
      </c>
      <c r="J27" s="49" t="str">
        <f aca="false">IF($F27=0,"",IF($H27&gt;=$I27,"On target","BELOW TARGET"))</f>
        <v>On target</v>
      </c>
      <c r="K27" s="47" t="n">
        <f aca="false">MIN('Platform Pricing'!$L$14)</f>
        <v>0.60859375</v>
      </c>
      <c r="L27" s="49" t="str">
        <f aca="false">IF($K27=0,"",IF($K27&gt;=Settings!$B$21,"On target","BELOW TARGET"))</f>
        <v>On target</v>
      </c>
      <c r="M27" s="50" t="str">
        <f aca="false">IF(MIN('Platform Pricing'!$K$14)&lt;0,"LOSES MONEY on at least one app - fix this today",IF(AND($J27="On target",$L27="On target"),"",IF($J27&lt;&gt;"On target","Counter margin short - check the portion weight first, then the two dearest lines in the recipe","Delivery margin short - raise the app price, make a smaller delivery portion, or delist it")))</f>
        <v/>
      </c>
    </row>
    <row r="29" customFormat="false" ht="15" hidden="false" customHeight="true" outlineLevel="0" collapsed="false">
      <c r="B29" s="15" t="s">
        <v>147</v>
      </c>
      <c r="C29" s="8"/>
      <c r="D29" s="8"/>
      <c r="E29" s="8"/>
      <c r="F29" s="8"/>
      <c r="G29" s="8"/>
      <c r="H29" s="8"/>
      <c r="I29" s="8"/>
      <c r="J29" s="8"/>
      <c r="K29" s="8"/>
      <c r="L29" s="8"/>
      <c r="M29" s="8"/>
    </row>
    <row r="30" customFormat="false" ht="33.75" hidden="false" customHeight="true" outlineLevel="0" collapsed="false">
      <c r="B30" s="51" t="s">
        <v>148</v>
      </c>
      <c r="D30" s="52" t="s">
        <v>149</v>
      </c>
      <c r="E30" s="52"/>
      <c r="F30" s="52"/>
      <c r="G30" s="52"/>
      <c r="H30" s="52"/>
      <c r="I30" s="52"/>
      <c r="J30" s="52"/>
      <c r="K30" s="52"/>
      <c r="L30" s="52"/>
      <c r="M30" s="52"/>
    </row>
    <row r="32" customFormat="false" ht="33.75" hidden="false" customHeight="true" outlineLevel="0" collapsed="false">
      <c r="B32" s="51" t="s">
        <v>150</v>
      </c>
      <c r="D32" s="52" t="s">
        <v>151</v>
      </c>
      <c r="E32" s="52"/>
      <c r="F32" s="52"/>
      <c r="G32" s="52"/>
      <c r="H32" s="52"/>
      <c r="I32" s="52"/>
      <c r="J32" s="52"/>
      <c r="K32" s="52"/>
      <c r="L32" s="52"/>
      <c r="M32" s="52"/>
    </row>
    <row r="34" customFormat="false" ht="33.75" hidden="false" customHeight="true" outlineLevel="0" collapsed="false">
      <c r="B34" s="51" t="s">
        <v>152</v>
      </c>
      <c r="D34" s="52" t="s">
        <v>153</v>
      </c>
      <c r="E34" s="52"/>
      <c r="F34" s="52"/>
      <c r="G34" s="52"/>
      <c r="H34" s="52"/>
      <c r="I34" s="52"/>
      <c r="J34" s="52"/>
      <c r="K34" s="52"/>
      <c r="L34" s="52"/>
      <c r="M34" s="52"/>
    </row>
    <row r="36" customFormat="false" ht="33.75" hidden="false" customHeight="true" outlineLevel="0" collapsed="false">
      <c r="B36" s="51" t="s">
        <v>154</v>
      </c>
      <c r="D36" s="52" t="s">
        <v>155</v>
      </c>
      <c r="E36" s="52"/>
      <c r="F36" s="52"/>
      <c r="G36" s="52"/>
      <c r="H36" s="52"/>
      <c r="I36" s="52"/>
      <c r="J36" s="52"/>
      <c r="K36" s="52"/>
      <c r="L36" s="52"/>
      <c r="M36" s="52"/>
    </row>
  </sheetData>
  <sheetProtection sheet="true" password="b7e1" objects="true" scenarios="true" formatCells="false" formatColumns="false" formatRows="false" sort="false" autoFilter="false"/>
  <mergeCells count="5">
    <mergeCell ref="B16:M16"/>
    <mergeCell ref="D30:M30"/>
    <mergeCell ref="D32:M32"/>
    <mergeCell ref="D34:M34"/>
    <mergeCell ref="D36:M36"/>
  </mergeCells>
  <conditionalFormatting sqref="J20:J27">
    <cfRule type="cellIs" priority="2" operator="equal" aboveAverage="0" equalAverage="0" bottom="0" percent="0" rank="0" text="" dxfId="0">
      <formula>"On target"</formula>
    </cfRule>
    <cfRule type="cellIs" priority="3" operator="notEqual" aboveAverage="0" equalAverage="0" bottom="0" percent="0" rank="0" text="" dxfId="1">
      <formula>"On target"</formula>
    </cfRule>
  </conditionalFormatting>
  <conditionalFormatting sqref="L20:L27">
    <cfRule type="cellIs" priority="4" operator="equal" aboveAverage="0" equalAverage="0" bottom="0" percent="0" rank="0" text="" dxfId="0">
      <formula>"On target"</formula>
    </cfRule>
    <cfRule type="cellIs" priority="5" operator="notEqual" aboveAverage="0" equalAverage="0" bottom="0" percent="0" rank="0" text="" dxfId="1">
      <formula>"On target"</formula>
    </cfRule>
  </conditionalFormatting>
  <conditionalFormatting sqref="K20:K27">
    <cfRule type="cellIs" priority="6" operator="lessThan" aboveAverage="0" equalAverage="0" bottom="0" percent="0" rank="0" text="" dxfId="1">
      <formula>0</formula>
    </cfRule>
  </conditionalFormatting>
  <printOptions headings="false" gridLines="false" gridLinesSet="true" horizontalCentered="false" verticalCentered="false"/>
  <pageMargins left="0.4" right="0.4" top="0.5" bottom="0.5"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&amp;K6b6157Back of House - Recipes and Costing&amp;R&amp;8 &amp;K6b6157backofhouseco.com</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K5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30"/>
    <col collapsed="false" customWidth="true" hidden="false" outlineLevel="0" max="2" min="2" style="1" width="18"/>
    <col collapsed="false" customWidth="true" hidden="false" outlineLevel="0" max="3" min="3" style="1" width="11"/>
    <col collapsed="false" customWidth="true" hidden="false" outlineLevel="0" max="4" min="4" style="1" width="8"/>
    <col collapsed="false" customWidth="true" hidden="false" outlineLevel="0" max="5" min="5" style="1" width="13"/>
    <col collapsed="false" customWidth="true" hidden="false" outlineLevel="0" max="6" min="6" style="1" width="11"/>
    <col collapsed="false" customWidth="true" hidden="false" outlineLevel="0" max="7" min="7" style="1" width="10"/>
    <col collapsed="false" customWidth="true" hidden="false" outlineLevel="0" max="8" min="8" style="1" width="15"/>
    <col collapsed="false" customWidth="true" hidden="false" outlineLevel="0" max="9" min="9" style="1" width="16"/>
    <col collapsed="false" customWidth="true" hidden="false" outlineLevel="0" max="10" min="10" style="1" width="15"/>
    <col collapsed="false" customWidth="true" hidden="false" outlineLevel="0" max="11" min="11" style="1" width="40"/>
  </cols>
  <sheetData>
    <row r="1" customFormat="false" ht="18" hidden="false" customHeight="true" outlineLevel="0" collapsed="false">
      <c r="A1" s="12" t="s">
        <v>18</v>
      </c>
    </row>
    <row r="2" customFormat="false" ht="15" hidden="false" customHeight="true" outlineLevel="0" collapsed="false">
      <c r="A2" s="37" t="str">
        <f aca="false">" One place a price is stored. Change it here and every recipe that uses it re-costs itself. All prices EXCLUDE VAT, in "&amp;Settings!$D$11&amp;"."</f>
        <v> One place a price is stored. Change it here and every recipe that uses it re-costs itself. All prices EXCLUDE VAT, in AED.</v>
      </c>
    </row>
    <row r="3" customFormat="false" ht="15" hidden="false" customHeight="true" outlineLevel="0" collapsed="false">
      <c r="A3" s="13" t="s">
        <v>156</v>
      </c>
      <c r="B3" s="13"/>
      <c r="C3" s="13"/>
      <c r="D3" s="13"/>
      <c r="E3" s="13"/>
      <c r="F3" s="13"/>
      <c r="G3" s="13"/>
      <c r="H3" s="13"/>
      <c r="I3" s="13"/>
      <c r="J3" s="13"/>
      <c r="K3" s="13"/>
    </row>
    <row r="5" customFormat="false" ht="25.5" hidden="false" customHeight="true" outlineLevel="0" collapsed="false">
      <c r="A5" s="33" t="s">
        <v>157</v>
      </c>
      <c r="B5" s="33" t="s">
        <v>158</v>
      </c>
      <c r="C5" s="34" t="s">
        <v>159</v>
      </c>
      <c r="D5" s="34" t="s">
        <v>160</v>
      </c>
      <c r="E5" s="34" t="s">
        <v>161</v>
      </c>
      <c r="F5" s="34" t="s">
        <v>162</v>
      </c>
      <c r="G5" s="34" t="s">
        <v>163</v>
      </c>
      <c r="H5" s="34" t="s">
        <v>164</v>
      </c>
      <c r="I5" s="34" t="s">
        <v>165</v>
      </c>
      <c r="J5" s="34" t="s">
        <v>166</v>
      </c>
      <c r="K5" s="34" t="s">
        <v>167</v>
      </c>
    </row>
    <row r="6" customFormat="false" ht="15" hidden="false" customHeight="true" outlineLevel="0" collapsed="false">
      <c r="A6" s="53" t="str">
        <f aca="false">'Sub-Recipes'!$B$6</f>
        <v>Burger sauce</v>
      </c>
      <c r="B6" s="53" t="str">
        <f aca="false">"Made in house"</f>
        <v>Made in house</v>
      </c>
      <c r="C6" s="54" t="n">
        <f aca="false">'Sub-Recipes'!$B$7</f>
        <v>1000</v>
      </c>
      <c r="D6" s="53" t="str">
        <f aca="false">'Sub-Recipes'!$C$7</f>
        <v>g</v>
      </c>
      <c r="E6" s="55" t="n">
        <f aca="false">'Sub-Recipes'!$E$19</f>
        <v>0</v>
      </c>
      <c r="F6" s="56"/>
      <c r="G6" s="56"/>
      <c r="H6" s="56"/>
      <c r="I6" s="57" t="n">
        <f aca="false">'Sub-Recipes'!$E$20</f>
        <v>0</v>
      </c>
      <c r="J6" s="56"/>
      <c r="K6" s="58" t="s">
        <v>168</v>
      </c>
    </row>
    <row r="7" customFormat="false" ht="15" hidden="false" customHeight="true" outlineLevel="0" collapsed="false">
      <c r="A7" s="53" t="str">
        <f aca="false">'Sub-Recipes'!$B$22</f>
        <v>Caesar dressing</v>
      </c>
      <c r="B7" s="53" t="str">
        <f aca="false">"Made in house"</f>
        <v>Made in house</v>
      </c>
      <c r="C7" s="54" t="n">
        <f aca="false">'Sub-Recipes'!$B$23</f>
        <v>1000</v>
      </c>
      <c r="D7" s="53" t="str">
        <f aca="false">'Sub-Recipes'!$C$23</f>
        <v>g</v>
      </c>
      <c r="E7" s="55" t="n">
        <f aca="false">'Sub-Recipes'!$E$35</f>
        <v>9.36</v>
      </c>
      <c r="F7" s="56"/>
      <c r="G7" s="56"/>
      <c r="H7" s="56"/>
      <c r="I7" s="57" t="n">
        <f aca="false">'Sub-Recipes'!$E$36</f>
        <v>0.00936</v>
      </c>
      <c r="J7" s="56"/>
      <c r="K7" s="58" t="s">
        <v>168</v>
      </c>
    </row>
    <row r="8" customFormat="false" ht="15" hidden="false" customHeight="true" outlineLevel="0" collapsed="false">
      <c r="A8" s="59" t="s">
        <v>169</v>
      </c>
      <c r="B8" s="59" t="s">
        <v>170</v>
      </c>
      <c r="C8" s="60" t="n">
        <v>1</v>
      </c>
      <c r="D8" s="59" t="s">
        <v>171</v>
      </c>
      <c r="E8" s="61" t="n">
        <v>12</v>
      </c>
      <c r="F8" s="62" t="n">
        <v>6</v>
      </c>
      <c r="G8" s="63" t="n">
        <v>0.9</v>
      </c>
      <c r="H8" s="64" t="n">
        <f aca="false">IF(OR($A8="",$C8=0,$C8=""),"",$E8/$C8)</f>
        <v>12</v>
      </c>
      <c r="I8" s="65" t="n">
        <f aca="false">IF(OR($A8="",$G8=0,$G8=""),"",$H8/$G8)</f>
        <v>13.3333333333333</v>
      </c>
      <c r="J8" s="66" t="n">
        <f aca="false">IF($A8="","",$E8*$F8)</f>
        <v>72</v>
      </c>
      <c r="K8" s="59"/>
    </row>
    <row r="9" customFormat="false" ht="15" hidden="false" customHeight="true" outlineLevel="0" collapsed="false">
      <c r="A9" s="59" t="s">
        <v>172</v>
      </c>
      <c r="B9" s="59" t="s">
        <v>170</v>
      </c>
      <c r="C9" s="60" t="n">
        <v>1</v>
      </c>
      <c r="D9" s="59" t="s">
        <v>173</v>
      </c>
      <c r="E9" s="61" t="n">
        <v>2.2</v>
      </c>
      <c r="F9" s="62" t="n">
        <v>20</v>
      </c>
      <c r="G9" s="63" t="n">
        <v>1</v>
      </c>
      <c r="H9" s="64" t="n">
        <f aca="false">IF(OR($A9="",$C9=0,$C9=""),"",$E9/$C9)</f>
        <v>2.2</v>
      </c>
      <c r="I9" s="65" t="n">
        <f aca="false">IF(OR($A9="",$G9=0,$G9=""),"",$H9/$G9)</f>
        <v>2.2</v>
      </c>
      <c r="J9" s="66" t="n">
        <f aca="false">IF($A9="","",$E9*$F9)</f>
        <v>44</v>
      </c>
      <c r="K9" s="59"/>
    </row>
    <row r="10" customFormat="false" ht="15" hidden="false" customHeight="true" outlineLevel="0" collapsed="false">
      <c r="A10" s="59" t="s">
        <v>174</v>
      </c>
      <c r="B10" s="59" t="s">
        <v>170</v>
      </c>
      <c r="C10" s="60" t="n">
        <v>1</v>
      </c>
      <c r="D10" s="59" t="s">
        <v>173</v>
      </c>
      <c r="E10" s="61" t="n">
        <v>3.1</v>
      </c>
      <c r="F10" s="62" t="n">
        <v>24</v>
      </c>
      <c r="G10" s="63" t="n">
        <v>1</v>
      </c>
      <c r="H10" s="64" t="n">
        <f aca="false">IF(OR($A10="",$C10=0,$C10=""),"",$E10/$C10)</f>
        <v>3.1</v>
      </c>
      <c r="I10" s="65" t="n">
        <f aca="false">IF(OR($A10="",$G10=0,$G10=""),"",$H10/$G10)</f>
        <v>3.1</v>
      </c>
      <c r="J10" s="66" t="n">
        <f aca="false">IF($A10="","",$E10*$F10)</f>
        <v>74.4</v>
      </c>
      <c r="K10" s="59"/>
    </row>
    <row r="11" customFormat="false" ht="15" hidden="false" customHeight="true" outlineLevel="0" collapsed="false">
      <c r="A11" s="59" t="s">
        <v>175</v>
      </c>
      <c r="B11" s="59" t="s">
        <v>170</v>
      </c>
      <c r="C11" s="60" t="n">
        <v>1</v>
      </c>
      <c r="D11" s="59" t="s">
        <v>173</v>
      </c>
      <c r="E11" s="61" t="n">
        <v>2.6</v>
      </c>
      <c r="F11" s="62" t="n">
        <v>24</v>
      </c>
      <c r="G11" s="63" t="n">
        <v>1</v>
      </c>
      <c r="H11" s="64" t="n">
        <f aca="false">IF(OR($A11="",$C11=0,$C11=""),"",$E11/$C11)</f>
        <v>2.6</v>
      </c>
      <c r="I11" s="65" t="n">
        <f aca="false">IF(OR($A11="",$G11=0,$G11=""),"",$H11/$G11)</f>
        <v>2.6</v>
      </c>
      <c r="J11" s="66" t="n">
        <f aca="false">IF($A11="","",$E11*$F11)</f>
        <v>62.4</v>
      </c>
      <c r="K11" s="59"/>
    </row>
    <row r="12" customFormat="false" ht="15" hidden="false" customHeight="true" outlineLevel="0" collapsed="false">
      <c r="A12" s="59" t="s">
        <v>176</v>
      </c>
      <c r="B12" s="59" t="s">
        <v>170</v>
      </c>
      <c r="C12" s="60" t="n">
        <v>1</v>
      </c>
      <c r="D12" s="59" t="s">
        <v>173</v>
      </c>
      <c r="E12" s="61" t="n">
        <v>1.4</v>
      </c>
      <c r="F12" s="62" t="n">
        <v>50</v>
      </c>
      <c r="G12" s="63" t="n">
        <v>1</v>
      </c>
      <c r="H12" s="64" t="n">
        <f aca="false">IF(OR($A12="",$C12=0,$C12=""),"",$E12/$C12)</f>
        <v>1.4</v>
      </c>
      <c r="I12" s="65" t="n">
        <f aca="false">IF(OR($A12="",$G12=0,$G12=""),"",$H12/$G12)</f>
        <v>1.4</v>
      </c>
      <c r="J12" s="66" t="n">
        <f aca="false">IF($A12="","",$E12*$F12)</f>
        <v>70</v>
      </c>
      <c r="K12" s="59"/>
    </row>
    <row r="13" customFormat="false" ht="15" hidden="false" customHeight="true" outlineLevel="0" collapsed="false">
      <c r="A13" s="59" t="s">
        <v>177</v>
      </c>
      <c r="B13" s="59" t="s">
        <v>170</v>
      </c>
      <c r="C13" s="60" t="n">
        <v>1</v>
      </c>
      <c r="D13" s="59" t="s">
        <v>173</v>
      </c>
      <c r="E13" s="61" t="n">
        <v>0.8</v>
      </c>
      <c r="F13" s="62" t="n">
        <v>50</v>
      </c>
      <c r="G13" s="63" t="n">
        <v>1</v>
      </c>
      <c r="H13" s="64" t="n">
        <f aca="false">IF(OR($A13="",$C13=0,$C13=""),"",$E13/$C13)</f>
        <v>0.8</v>
      </c>
      <c r="I13" s="65" t="n">
        <f aca="false">IF(OR($A13="",$G13=0,$G13=""),"",$H13/$G13)</f>
        <v>0.8</v>
      </c>
      <c r="J13" s="66" t="n">
        <f aca="false">IF($A13="","",$E13*$F13)</f>
        <v>40</v>
      </c>
      <c r="K13" s="59"/>
    </row>
    <row r="14" customFormat="false" ht="15" hidden="false" customHeight="true" outlineLevel="0" collapsed="false">
      <c r="A14" s="59" t="s">
        <v>178</v>
      </c>
      <c r="B14" s="59" t="s">
        <v>170</v>
      </c>
      <c r="C14" s="60" t="n">
        <v>1</v>
      </c>
      <c r="D14" s="59" t="s">
        <v>173</v>
      </c>
      <c r="E14" s="61" t="n">
        <v>2.4</v>
      </c>
      <c r="F14" s="62" t="n">
        <v>20</v>
      </c>
      <c r="G14" s="63" t="n">
        <v>1</v>
      </c>
      <c r="H14" s="64" t="n">
        <f aca="false">IF(OR($A14="",$C14=0,$C14=""),"",$E14/$C14)</f>
        <v>2.4</v>
      </c>
      <c r="I14" s="65" t="n">
        <f aca="false">IF(OR($A14="",$G14=0,$G14=""),"",$H14/$G14)</f>
        <v>2.4</v>
      </c>
      <c r="J14" s="66" t="n">
        <f aca="false">IF($A14="","",$E14*$F14)</f>
        <v>48</v>
      </c>
      <c r="K14" s="59"/>
    </row>
    <row r="15" customFormat="false" ht="15" hidden="false" customHeight="true" outlineLevel="0" collapsed="false">
      <c r="A15" s="59" t="s">
        <v>179</v>
      </c>
      <c r="B15" s="59" t="s">
        <v>170</v>
      </c>
      <c r="C15" s="60" t="n">
        <v>1</v>
      </c>
      <c r="D15" s="59" t="s">
        <v>173</v>
      </c>
      <c r="E15" s="61" t="n">
        <v>4.5</v>
      </c>
      <c r="F15" s="62" t="n">
        <v>12</v>
      </c>
      <c r="G15" s="63" t="n">
        <v>0.92</v>
      </c>
      <c r="H15" s="64" t="n">
        <f aca="false">IF(OR($A15="",$C15=0,$C15=""),"",$E15/$C15)</f>
        <v>4.5</v>
      </c>
      <c r="I15" s="65" t="n">
        <f aca="false">IF(OR($A15="",$G15=0,$G15=""),"",$H15/$G15)</f>
        <v>4.89130434782609</v>
      </c>
      <c r="J15" s="66" t="n">
        <f aca="false">IF($A15="","",$E15*$F15)</f>
        <v>54</v>
      </c>
      <c r="K15" s="59"/>
    </row>
    <row r="16" customFormat="false" ht="15" hidden="false" customHeight="true" outlineLevel="0" collapsed="false">
      <c r="A16" s="59" t="s">
        <v>180</v>
      </c>
      <c r="B16" s="59" t="s">
        <v>170</v>
      </c>
      <c r="C16" s="60" t="n">
        <v>1</v>
      </c>
      <c r="D16" s="59" t="s">
        <v>173</v>
      </c>
      <c r="E16" s="61" t="n">
        <v>1.9</v>
      </c>
      <c r="F16" s="62" t="n">
        <v>24</v>
      </c>
      <c r="G16" s="63" t="n">
        <v>1</v>
      </c>
      <c r="H16" s="64" t="n">
        <f aca="false">IF(OR($A16="",$C16=0,$C16=""),"",$E16/$C16)</f>
        <v>1.9</v>
      </c>
      <c r="I16" s="65" t="n">
        <f aca="false">IF(OR($A16="",$G16=0,$G16=""),"",$H16/$G16)</f>
        <v>1.9</v>
      </c>
      <c r="J16" s="66" t="n">
        <f aca="false">IF($A16="","",$E16*$F16)</f>
        <v>45.6</v>
      </c>
      <c r="K16" s="59"/>
    </row>
    <row r="17" customFormat="false" ht="15" hidden="false" customHeight="true" outlineLevel="0" collapsed="false">
      <c r="A17" s="59" t="s">
        <v>181</v>
      </c>
      <c r="B17" s="59" t="s">
        <v>170</v>
      </c>
      <c r="C17" s="60" t="n">
        <v>1</v>
      </c>
      <c r="D17" s="59" t="s">
        <v>173</v>
      </c>
      <c r="E17" s="61" t="n">
        <v>1.7</v>
      </c>
      <c r="F17" s="62" t="n">
        <v>24</v>
      </c>
      <c r="G17" s="63" t="n">
        <v>1</v>
      </c>
      <c r="H17" s="64" t="n">
        <f aca="false">IF(OR($A17="",$C17=0,$C17=""),"",$E17/$C17)</f>
        <v>1.7</v>
      </c>
      <c r="I17" s="65" t="n">
        <f aca="false">IF(OR($A17="",$G17=0,$G17=""),"",$H17/$G17)</f>
        <v>1.7</v>
      </c>
      <c r="J17" s="66" t="n">
        <f aca="false">IF($A17="","",$E17*$F17)</f>
        <v>40.8</v>
      </c>
      <c r="K17" s="59"/>
    </row>
    <row r="18" customFormat="false" ht="15" hidden="false" customHeight="true" outlineLevel="0" collapsed="false">
      <c r="A18" s="59" t="s">
        <v>182</v>
      </c>
      <c r="B18" s="59" t="s">
        <v>183</v>
      </c>
      <c r="C18" s="60" t="n">
        <v>1000</v>
      </c>
      <c r="D18" s="59" t="s">
        <v>184</v>
      </c>
      <c r="E18" s="61" t="n">
        <v>46</v>
      </c>
      <c r="F18" s="62" t="n">
        <v>2</v>
      </c>
      <c r="G18" s="63" t="n">
        <v>1</v>
      </c>
      <c r="H18" s="64" t="n">
        <f aca="false">IF(OR($A18="",$C18=0,$C18=""),"",$E18/$C18)</f>
        <v>0.046</v>
      </c>
      <c r="I18" s="65" t="n">
        <f aca="false">IF(OR($A18="",$G18=0,$G18=""),"",$H18/$G18)</f>
        <v>0.046</v>
      </c>
      <c r="J18" s="66" t="n">
        <f aca="false">IF($A18="","",$E18*$F18)</f>
        <v>92</v>
      </c>
      <c r="K18" s="59"/>
    </row>
    <row r="19" customFormat="false" ht="15" hidden="false" customHeight="true" outlineLevel="0" collapsed="false">
      <c r="A19" s="59" t="s">
        <v>185</v>
      </c>
      <c r="B19" s="59" t="s">
        <v>183</v>
      </c>
      <c r="C19" s="60" t="n">
        <v>1000</v>
      </c>
      <c r="D19" s="59" t="s">
        <v>184</v>
      </c>
      <c r="E19" s="61" t="n">
        <v>38</v>
      </c>
      <c r="F19" s="62" t="n">
        <v>2</v>
      </c>
      <c r="G19" s="63" t="n">
        <v>1</v>
      </c>
      <c r="H19" s="64" t="n">
        <f aca="false">IF(OR($A19="",$C19=0,$C19=""),"",$E19/$C19)</f>
        <v>0.038</v>
      </c>
      <c r="I19" s="65" t="n">
        <f aca="false">IF(OR($A19="",$G19=0,$G19=""),"",$H19/$G19)</f>
        <v>0.038</v>
      </c>
      <c r="J19" s="66" t="n">
        <f aca="false">IF($A19="","",$E19*$F19)</f>
        <v>76</v>
      </c>
      <c r="K19" s="59"/>
    </row>
    <row r="20" customFormat="false" ht="15" hidden="false" customHeight="true" outlineLevel="0" collapsed="false">
      <c r="A20" s="59" t="s">
        <v>186</v>
      </c>
      <c r="B20" s="59" t="s">
        <v>183</v>
      </c>
      <c r="C20" s="60" t="n">
        <v>1000</v>
      </c>
      <c r="D20" s="59" t="s">
        <v>184</v>
      </c>
      <c r="E20" s="61" t="n">
        <v>32</v>
      </c>
      <c r="F20" s="62" t="n">
        <v>2</v>
      </c>
      <c r="G20" s="63" t="n">
        <v>1</v>
      </c>
      <c r="H20" s="64" t="n">
        <f aca="false">IF(OR($A20="",$C20=0,$C20=""),"",$E20/$C20)</f>
        <v>0.032</v>
      </c>
      <c r="I20" s="65" t="n">
        <f aca="false">IF(OR($A20="",$G20=0,$G20=""),"",$H20/$G20)</f>
        <v>0.032</v>
      </c>
      <c r="J20" s="66" t="n">
        <f aca="false">IF($A20="","",$E20*$F20)</f>
        <v>64</v>
      </c>
      <c r="K20" s="59"/>
    </row>
    <row r="21" customFormat="false" ht="15" hidden="false" customHeight="true" outlineLevel="0" collapsed="false">
      <c r="A21" s="59" t="s">
        <v>187</v>
      </c>
      <c r="B21" s="59" t="s">
        <v>183</v>
      </c>
      <c r="C21" s="60" t="n">
        <v>1000</v>
      </c>
      <c r="D21" s="59" t="s">
        <v>184</v>
      </c>
      <c r="E21" s="61" t="n">
        <v>78</v>
      </c>
      <c r="F21" s="62" t="n">
        <v>1</v>
      </c>
      <c r="G21" s="63" t="n">
        <v>1</v>
      </c>
      <c r="H21" s="64" t="n">
        <f aca="false">IF(OR($A21="",$C21=0,$C21=""),"",$E21/$C21)</f>
        <v>0.078</v>
      </c>
      <c r="I21" s="65" t="n">
        <f aca="false">IF(OR($A21="",$G21=0,$G21=""),"",$H21/$G21)</f>
        <v>0.078</v>
      </c>
      <c r="J21" s="66" t="n">
        <f aca="false">IF($A21="","",$E21*$F21)</f>
        <v>78</v>
      </c>
      <c r="K21" s="59"/>
    </row>
    <row r="22" customFormat="false" ht="15" hidden="false" customHeight="true" outlineLevel="0" collapsed="false">
      <c r="A22" s="59" t="s">
        <v>188</v>
      </c>
      <c r="B22" s="59" t="s">
        <v>183</v>
      </c>
      <c r="C22" s="60" t="n">
        <v>1000</v>
      </c>
      <c r="D22" s="59" t="s">
        <v>184</v>
      </c>
      <c r="E22" s="61" t="n">
        <v>34</v>
      </c>
      <c r="F22" s="62" t="n">
        <v>1</v>
      </c>
      <c r="G22" s="63" t="n">
        <v>1</v>
      </c>
      <c r="H22" s="64" t="n">
        <f aca="false">IF(OR($A22="",$C22=0,$C22=""),"",$E22/$C22)</f>
        <v>0.034</v>
      </c>
      <c r="I22" s="65" t="n">
        <f aca="false">IF(OR($A22="",$G22=0,$G22=""),"",$H22/$G22)</f>
        <v>0.034</v>
      </c>
      <c r="J22" s="66" t="n">
        <f aca="false">IF($A22="","",$E22*$F22)</f>
        <v>34</v>
      </c>
      <c r="K22" s="59"/>
    </row>
    <row r="23" customFormat="false" ht="15" hidden="false" customHeight="true" outlineLevel="0" collapsed="false">
      <c r="A23" s="59" t="s">
        <v>189</v>
      </c>
      <c r="B23" s="59" t="s">
        <v>183</v>
      </c>
      <c r="C23" s="60" t="n">
        <v>1000</v>
      </c>
      <c r="D23" s="59" t="s">
        <v>184</v>
      </c>
      <c r="E23" s="61" t="n">
        <v>22</v>
      </c>
      <c r="F23" s="62" t="n">
        <v>1</v>
      </c>
      <c r="G23" s="63" t="n">
        <v>1</v>
      </c>
      <c r="H23" s="64" t="n">
        <f aca="false">IF(OR($A23="",$C23=0,$C23=""),"",$E23/$C23)</f>
        <v>0.022</v>
      </c>
      <c r="I23" s="65" t="n">
        <f aca="false">IF(OR($A23="",$G23=0,$G23=""),"",$H23/$G23)</f>
        <v>0.022</v>
      </c>
      <c r="J23" s="66" t="n">
        <f aca="false">IF($A23="","",$E23*$F23)</f>
        <v>22</v>
      </c>
      <c r="K23" s="59"/>
    </row>
    <row r="24" customFormat="false" ht="15" hidden="false" customHeight="true" outlineLevel="0" collapsed="false">
      <c r="A24" s="59" t="s">
        <v>190</v>
      </c>
      <c r="B24" s="59" t="s">
        <v>183</v>
      </c>
      <c r="C24" s="60" t="n">
        <v>1000</v>
      </c>
      <c r="D24" s="59" t="s">
        <v>184</v>
      </c>
      <c r="E24" s="61" t="n">
        <v>28</v>
      </c>
      <c r="F24" s="62" t="n">
        <v>1</v>
      </c>
      <c r="G24" s="63" t="n">
        <v>1</v>
      </c>
      <c r="H24" s="64" t="n">
        <f aca="false">IF(OR($A24="",$C24=0,$C24=""),"",$E24/$C24)</f>
        <v>0.028</v>
      </c>
      <c r="I24" s="65" t="n">
        <f aca="false">IF(OR($A24="",$G24=0,$G24=""),"",$H24/$G24)</f>
        <v>0.028</v>
      </c>
      <c r="J24" s="66" t="n">
        <f aca="false">IF($A24="","",$E24*$F24)</f>
        <v>28</v>
      </c>
      <c r="K24" s="59"/>
    </row>
    <row r="25" customFormat="false" ht="15" hidden="false" customHeight="true" outlineLevel="0" collapsed="false">
      <c r="A25" s="59" t="s">
        <v>191</v>
      </c>
      <c r="B25" s="59" t="s">
        <v>183</v>
      </c>
      <c r="C25" s="60" t="n">
        <v>1000</v>
      </c>
      <c r="D25" s="59" t="s">
        <v>184</v>
      </c>
      <c r="E25" s="61" t="n">
        <v>18</v>
      </c>
      <c r="F25" s="62" t="n">
        <v>2</v>
      </c>
      <c r="G25" s="63" t="n">
        <v>1</v>
      </c>
      <c r="H25" s="64" t="n">
        <f aca="false">IF(OR($A25="",$C25=0,$C25=""),"",$E25/$C25)</f>
        <v>0.018</v>
      </c>
      <c r="I25" s="65" t="n">
        <f aca="false">IF(OR($A25="",$G25=0,$G25=""),"",$H25/$G25)</f>
        <v>0.018</v>
      </c>
      <c r="J25" s="66" t="n">
        <f aca="false">IF($A25="","",$E25*$F25)</f>
        <v>36</v>
      </c>
      <c r="K25" s="59"/>
    </row>
    <row r="26" customFormat="false" ht="15" hidden="false" customHeight="true" outlineLevel="0" collapsed="false">
      <c r="A26" s="59" t="s">
        <v>192</v>
      </c>
      <c r="B26" s="59" t="s">
        <v>183</v>
      </c>
      <c r="C26" s="60" t="n">
        <v>1000</v>
      </c>
      <c r="D26" s="59" t="s">
        <v>184</v>
      </c>
      <c r="E26" s="61" t="n">
        <v>34</v>
      </c>
      <c r="F26" s="62" t="n">
        <v>1</v>
      </c>
      <c r="G26" s="63" t="n">
        <v>1</v>
      </c>
      <c r="H26" s="64" t="n">
        <f aca="false">IF(OR($A26="",$C26=0,$C26=""),"",$E26/$C26)</f>
        <v>0.034</v>
      </c>
      <c r="I26" s="65" t="n">
        <f aca="false">IF(OR($A26="",$G26=0,$G26=""),"",$H26/$G26)</f>
        <v>0.034</v>
      </c>
      <c r="J26" s="66" t="n">
        <f aca="false">IF($A26="","",$E26*$F26)</f>
        <v>34</v>
      </c>
      <c r="K26" s="59"/>
    </row>
    <row r="27" customFormat="false" ht="15" hidden="false" customHeight="true" outlineLevel="0" collapsed="false">
      <c r="A27" s="59" t="s">
        <v>193</v>
      </c>
      <c r="B27" s="59" t="s">
        <v>183</v>
      </c>
      <c r="C27" s="60" t="n">
        <v>1000</v>
      </c>
      <c r="D27" s="59" t="s">
        <v>194</v>
      </c>
      <c r="E27" s="61" t="n">
        <v>5.2</v>
      </c>
      <c r="F27" s="62" t="n">
        <v>12</v>
      </c>
      <c r="G27" s="63" t="n">
        <v>1</v>
      </c>
      <c r="H27" s="64" t="n">
        <f aca="false">IF(OR($A27="",$C27=0,$C27=""),"",$E27/$C27)</f>
        <v>0.0052</v>
      </c>
      <c r="I27" s="65" t="n">
        <f aca="false">IF(OR($A27="",$G27=0,$G27=""),"",$H27/$G27)</f>
        <v>0.0052</v>
      </c>
      <c r="J27" s="66" t="n">
        <f aca="false">IF($A27="","",$E27*$F27)</f>
        <v>62.4</v>
      </c>
      <c r="K27" s="59"/>
    </row>
    <row r="28" customFormat="false" ht="15" hidden="false" customHeight="true" outlineLevel="0" collapsed="false">
      <c r="A28" s="59" t="s">
        <v>195</v>
      </c>
      <c r="B28" s="59" t="s">
        <v>183</v>
      </c>
      <c r="C28" s="60" t="n">
        <v>1000</v>
      </c>
      <c r="D28" s="59" t="s">
        <v>194</v>
      </c>
      <c r="E28" s="61" t="n">
        <v>11.5</v>
      </c>
      <c r="F28" s="62" t="n">
        <v>12</v>
      </c>
      <c r="G28" s="63" t="n">
        <v>1</v>
      </c>
      <c r="H28" s="64" t="n">
        <f aca="false">IF(OR($A28="",$C28=0,$C28=""),"",$E28/$C28)</f>
        <v>0.0115</v>
      </c>
      <c r="I28" s="65" t="n">
        <f aca="false">IF(OR($A28="",$G28=0,$G28=""),"",$H28/$G28)</f>
        <v>0.0115</v>
      </c>
      <c r="J28" s="66" t="n">
        <f aca="false">IF($A28="","",$E28*$F28)</f>
        <v>138</v>
      </c>
      <c r="K28" s="59"/>
    </row>
    <row r="29" customFormat="false" ht="15" hidden="false" customHeight="true" outlineLevel="0" collapsed="false">
      <c r="A29" s="59" t="s">
        <v>196</v>
      </c>
      <c r="B29" s="59" t="s">
        <v>183</v>
      </c>
      <c r="C29" s="60" t="n">
        <v>1000</v>
      </c>
      <c r="D29" s="59" t="s">
        <v>194</v>
      </c>
      <c r="E29" s="61" t="n">
        <v>26</v>
      </c>
      <c r="F29" s="62" t="n">
        <v>2</v>
      </c>
      <c r="G29" s="63" t="n">
        <v>1</v>
      </c>
      <c r="H29" s="64" t="n">
        <f aca="false">IF(OR($A29="",$C29=0,$C29=""),"",$E29/$C29)</f>
        <v>0.026</v>
      </c>
      <c r="I29" s="65" t="n">
        <f aca="false">IF(OR($A29="",$G29=0,$G29=""),"",$H29/$G29)</f>
        <v>0.026</v>
      </c>
      <c r="J29" s="66" t="n">
        <f aca="false">IF($A29="","",$E29*$F29)</f>
        <v>52</v>
      </c>
      <c r="K29" s="59"/>
    </row>
    <row r="30" customFormat="false" ht="15" hidden="false" customHeight="true" outlineLevel="0" collapsed="false">
      <c r="A30" s="59" t="s">
        <v>197</v>
      </c>
      <c r="B30" s="59" t="s">
        <v>183</v>
      </c>
      <c r="C30" s="60" t="n">
        <v>1</v>
      </c>
      <c r="D30" s="59" t="s">
        <v>173</v>
      </c>
      <c r="E30" s="61" t="n">
        <v>0.85</v>
      </c>
      <c r="F30" s="62" t="n">
        <v>180</v>
      </c>
      <c r="G30" s="63" t="n">
        <v>1</v>
      </c>
      <c r="H30" s="64" t="n">
        <f aca="false">IF(OR($A30="",$C30=0,$C30=""),"",$E30/$C30)</f>
        <v>0.85</v>
      </c>
      <c r="I30" s="65" t="n">
        <f aca="false">IF(OR($A30="",$G30=0,$G30=""),"",$H30/$G30)</f>
        <v>0.85</v>
      </c>
      <c r="J30" s="66" t="n">
        <f aca="false">IF($A30="","",$E30*$F30)</f>
        <v>153</v>
      </c>
      <c r="K30" s="59"/>
    </row>
    <row r="31" customFormat="false" ht="15" hidden="false" customHeight="true" outlineLevel="0" collapsed="false">
      <c r="A31" s="59" t="s">
        <v>198</v>
      </c>
      <c r="B31" s="59" t="s">
        <v>199</v>
      </c>
      <c r="C31" s="60" t="n">
        <v>1000</v>
      </c>
      <c r="D31" s="59" t="s">
        <v>184</v>
      </c>
      <c r="E31" s="61" t="n">
        <v>26</v>
      </c>
      <c r="F31" s="62" t="n">
        <v>5</v>
      </c>
      <c r="G31" s="63" t="n">
        <v>0.88</v>
      </c>
      <c r="H31" s="64" t="n">
        <f aca="false">IF(OR($A31="",$C31=0,$C31=""),"",$E31/$C31)</f>
        <v>0.026</v>
      </c>
      <c r="I31" s="65" t="n">
        <f aca="false">IF(OR($A31="",$G31=0,$G31=""),"",$H31/$G31)</f>
        <v>0.0295454545454545</v>
      </c>
      <c r="J31" s="66" t="n">
        <f aca="false">IF($A31="","",$E31*$F31)</f>
        <v>130</v>
      </c>
      <c r="K31" s="59"/>
    </row>
    <row r="32" customFormat="false" ht="15" hidden="false" customHeight="true" outlineLevel="0" collapsed="false">
      <c r="A32" s="59" t="s">
        <v>200</v>
      </c>
      <c r="B32" s="59" t="s">
        <v>199</v>
      </c>
      <c r="C32" s="60" t="n">
        <v>1000</v>
      </c>
      <c r="D32" s="59" t="s">
        <v>184</v>
      </c>
      <c r="E32" s="61" t="n">
        <v>21</v>
      </c>
      <c r="F32" s="62" t="n">
        <v>5</v>
      </c>
      <c r="G32" s="63" t="n">
        <v>0.9</v>
      </c>
      <c r="H32" s="64" t="n">
        <f aca="false">IF(OR($A32="",$C32=0,$C32=""),"",$E32/$C32)</f>
        <v>0.021</v>
      </c>
      <c r="I32" s="65" t="n">
        <f aca="false">IF(OR($A32="",$G32=0,$G32=""),"",$H32/$G32)</f>
        <v>0.0233333333333333</v>
      </c>
      <c r="J32" s="66" t="n">
        <f aca="false">IF($A32="","",$E32*$F32)</f>
        <v>105</v>
      </c>
      <c r="K32" s="59"/>
    </row>
    <row r="33" customFormat="false" ht="15" hidden="false" customHeight="true" outlineLevel="0" collapsed="false">
      <c r="A33" s="59" t="s">
        <v>201</v>
      </c>
      <c r="B33" s="59" t="s">
        <v>199</v>
      </c>
      <c r="C33" s="60" t="n">
        <v>1000</v>
      </c>
      <c r="D33" s="59" t="s">
        <v>184</v>
      </c>
      <c r="E33" s="61" t="n">
        <v>44</v>
      </c>
      <c r="F33" s="62" t="n">
        <v>5</v>
      </c>
      <c r="G33" s="63" t="n">
        <v>0.95</v>
      </c>
      <c r="H33" s="64" t="n">
        <f aca="false">IF(OR($A33="",$C33=0,$C33=""),"",$E33/$C33)</f>
        <v>0.044</v>
      </c>
      <c r="I33" s="65" t="n">
        <f aca="false">IF(OR($A33="",$G33=0,$G33=""),"",$H33/$G33)</f>
        <v>0.0463157894736842</v>
      </c>
      <c r="J33" s="66" t="n">
        <f aca="false">IF($A33="","",$E33*$F33)</f>
        <v>220</v>
      </c>
      <c r="K33" s="59"/>
    </row>
    <row r="34" customFormat="false" ht="15" hidden="false" customHeight="true" outlineLevel="0" collapsed="false">
      <c r="A34" s="59" t="s">
        <v>202</v>
      </c>
      <c r="B34" s="59" t="s">
        <v>199</v>
      </c>
      <c r="C34" s="60" t="n">
        <v>1000</v>
      </c>
      <c r="D34" s="59" t="s">
        <v>184</v>
      </c>
      <c r="E34" s="61" t="n">
        <v>78</v>
      </c>
      <c r="F34" s="62" t="n">
        <v>3</v>
      </c>
      <c r="G34" s="63" t="n">
        <v>0.85</v>
      </c>
      <c r="H34" s="64" t="n">
        <f aca="false">IF(OR($A34="",$C34=0,$C34=""),"",$E34/$C34)</f>
        <v>0.078</v>
      </c>
      <c r="I34" s="65" t="n">
        <f aca="false">IF(OR($A34="",$G34=0,$G34=""),"",$H34/$G34)</f>
        <v>0.0917647058823529</v>
      </c>
      <c r="J34" s="66" t="n">
        <f aca="false">IF($A34="","",$E34*$F34)</f>
        <v>234</v>
      </c>
      <c r="K34" s="59"/>
    </row>
    <row r="35" customFormat="false" ht="15" hidden="false" customHeight="true" outlineLevel="0" collapsed="false">
      <c r="A35" s="59" t="s">
        <v>203</v>
      </c>
      <c r="B35" s="59" t="s">
        <v>199</v>
      </c>
      <c r="C35" s="60" t="n">
        <v>1000</v>
      </c>
      <c r="D35" s="59" t="s">
        <v>184</v>
      </c>
      <c r="E35" s="61" t="n">
        <v>42</v>
      </c>
      <c r="F35" s="62" t="n">
        <v>3</v>
      </c>
      <c r="G35" s="63" t="n">
        <v>0.88</v>
      </c>
      <c r="H35" s="64" t="n">
        <f aca="false">IF(OR($A35="",$C35=0,$C35=""),"",$E35/$C35)</f>
        <v>0.042</v>
      </c>
      <c r="I35" s="65" t="n">
        <f aca="false">IF(OR($A35="",$G35=0,$G35=""),"",$H35/$G35)</f>
        <v>0.0477272727272727</v>
      </c>
      <c r="J35" s="66" t="n">
        <f aca="false">IF($A35="","",$E35*$F35)</f>
        <v>126</v>
      </c>
      <c r="K35" s="59"/>
    </row>
    <row r="36" customFormat="false" ht="15" hidden="false" customHeight="true" outlineLevel="0" collapsed="false">
      <c r="A36" s="59" t="s">
        <v>204</v>
      </c>
      <c r="B36" s="59" t="s">
        <v>199</v>
      </c>
      <c r="C36" s="60" t="n">
        <v>500</v>
      </c>
      <c r="D36" s="59" t="s">
        <v>184</v>
      </c>
      <c r="E36" s="61" t="n">
        <v>32</v>
      </c>
      <c r="F36" s="62" t="n">
        <v>2</v>
      </c>
      <c r="G36" s="63" t="n">
        <v>1</v>
      </c>
      <c r="H36" s="64" t="n">
        <f aca="false">IF(OR($A36="",$C36=0,$C36=""),"",$E36/$C36)</f>
        <v>0.064</v>
      </c>
      <c r="I36" s="65" t="n">
        <f aca="false">IF(OR($A36="",$G36=0,$G36=""),"",$H36/$G36)</f>
        <v>0.064</v>
      </c>
      <c r="J36" s="66" t="n">
        <f aca="false">IF($A36="","",$E36*$F36)</f>
        <v>64</v>
      </c>
      <c r="K36" s="59"/>
    </row>
    <row r="37" customFormat="false" ht="15" hidden="false" customHeight="true" outlineLevel="0" collapsed="false">
      <c r="A37" s="59" t="s">
        <v>205</v>
      </c>
      <c r="B37" s="59" t="s">
        <v>199</v>
      </c>
      <c r="C37" s="60" t="n">
        <v>500</v>
      </c>
      <c r="D37" s="59" t="s">
        <v>184</v>
      </c>
      <c r="E37" s="61" t="n">
        <v>26</v>
      </c>
      <c r="F37" s="62" t="n">
        <v>2</v>
      </c>
      <c r="G37" s="63" t="n">
        <v>0.92</v>
      </c>
      <c r="H37" s="64" t="n">
        <f aca="false">IF(OR($A37="",$C37=0,$C37=""),"",$E37/$C37)</f>
        <v>0.052</v>
      </c>
      <c r="I37" s="65" t="n">
        <f aca="false">IF(OR($A37="",$G37=0,$G37=""),"",$H37/$G37)</f>
        <v>0.0565217391304348</v>
      </c>
      <c r="J37" s="66" t="n">
        <f aca="false">IF($A37="","",$E37*$F37)</f>
        <v>52</v>
      </c>
      <c r="K37" s="59"/>
    </row>
    <row r="38" customFormat="false" ht="15" hidden="false" customHeight="true" outlineLevel="0" collapsed="false">
      <c r="A38" s="59" t="s">
        <v>206</v>
      </c>
      <c r="B38" s="59" t="s">
        <v>207</v>
      </c>
      <c r="C38" s="60" t="n">
        <v>185</v>
      </c>
      <c r="D38" s="59" t="s">
        <v>184</v>
      </c>
      <c r="E38" s="61" t="n">
        <v>7.5</v>
      </c>
      <c r="F38" s="62" t="n">
        <v>24</v>
      </c>
      <c r="G38" s="63" t="n">
        <v>0.72</v>
      </c>
      <c r="H38" s="64" t="n">
        <f aca="false">IF(OR($A38="",$C38=0,$C38=""),"",$E38/$C38)</f>
        <v>0.0405405405405405</v>
      </c>
      <c r="I38" s="65" t="n">
        <f aca="false">IF(OR($A38="",$G38=0,$G38=""),"",$H38/$G38)</f>
        <v>0.0563063063063063</v>
      </c>
      <c r="J38" s="66" t="n">
        <f aca="false">IF($A38="","",$E38*$F38)</f>
        <v>180</v>
      </c>
      <c r="K38" s="59"/>
    </row>
    <row r="39" customFormat="false" ht="15" hidden="false" customHeight="true" outlineLevel="0" collapsed="false">
      <c r="A39" s="59" t="s">
        <v>208</v>
      </c>
      <c r="B39" s="59" t="s">
        <v>199</v>
      </c>
      <c r="C39" s="60" t="n">
        <v>500</v>
      </c>
      <c r="D39" s="59" t="s">
        <v>184</v>
      </c>
      <c r="E39" s="61" t="n">
        <v>85</v>
      </c>
      <c r="F39" s="62" t="n">
        <v>1</v>
      </c>
      <c r="G39" s="63" t="n">
        <v>1</v>
      </c>
      <c r="H39" s="64" t="n">
        <f aca="false">IF(OR($A39="",$C39=0,$C39=""),"",$E39/$C39)</f>
        <v>0.17</v>
      </c>
      <c r="I39" s="65" t="n">
        <f aca="false">IF(OR($A39="",$G39=0,$G39=""),"",$H39/$G39)</f>
        <v>0.17</v>
      </c>
      <c r="J39" s="66" t="n">
        <f aca="false">IF($A39="","",$E39*$F39)</f>
        <v>85</v>
      </c>
      <c r="K39" s="59"/>
    </row>
    <row r="40" customFormat="false" ht="15" hidden="false" customHeight="true" outlineLevel="0" collapsed="false">
      <c r="A40" s="59" t="s">
        <v>209</v>
      </c>
      <c r="B40" s="59" t="s">
        <v>210</v>
      </c>
      <c r="C40" s="60" t="n">
        <v>1</v>
      </c>
      <c r="D40" s="59" t="s">
        <v>173</v>
      </c>
      <c r="E40" s="61" t="n">
        <v>6.5</v>
      </c>
      <c r="F40" s="62" t="n">
        <v>12</v>
      </c>
      <c r="G40" s="63" t="n">
        <v>0.7</v>
      </c>
      <c r="H40" s="64" t="n">
        <f aca="false">IF(OR($A40="",$C40=0,$C40=""),"",$E40/$C40)</f>
        <v>6.5</v>
      </c>
      <c r="I40" s="65" t="n">
        <f aca="false">IF(OR($A40="",$G40=0,$G40=""),"",$H40/$G40)</f>
        <v>9.28571428571429</v>
      </c>
      <c r="J40" s="66" t="n">
        <f aca="false">IF($A40="","",$E40*$F40)</f>
        <v>78</v>
      </c>
      <c r="K40" s="59"/>
    </row>
    <row r="41" customFormat="false" ht="15" hidden="false" customHeight="true" outlineLevel="0" collapsed="false">
      <c r="A41" s="59" t="s">
        <v>211</v>
      </c>
      <c r="B41" s="59" t="s">
        <v>210</v>
      </c>
      <c r="C41" s="60" t="n">
        <v>1000</v>
      </c>
      <c r="D41" s="59" t="s">
        <v>184</v>
      </c>
      <c r="E41" s="61" t="n">
        <v>7</v>
      </c>
      <c r="F41" s="62" t="n">
        <v>5</v>
      </c>
      <c r="G41" s="63" t="n">
        <v>0.92</v>
      </c>
      <c r="H41" s="64" t="n">
        <f aca="false">IF(OR($A41="",$C41=0,$C41=""),"",$E41/$C41)</f>
        <v>0.007</v>
      </c>
      <c r="I41" s="65" t="n">
        <f aca="false">IF(OR($A41="",$G41=0,$G41=""),"",$H41/$G41)</f>
        <v>0.00760869565217391</v>
      </c>
      <c r="J41" s="66" t="n">
        <f aca="false">IF($A41="","",$E41*$F41)</f>
        <v>35</v>
      </c>
      <c r="K41" s="59"/>
    </row>
    <row r="42" customFormat="false" ht="15" hidden="false" customHeight="true" outlineLevel="0" collapsed="false">
      <c r="A42" s="59" t="s">
        <v>212</v>
      </c>
      <c r="B42" s="59" t="s">
        <v>210</v>
      </c>
      <c r="C42" s="60" t="n">
        <v>1000</v>
      </c>
      <c r="D42" s="59" t="s">
        <v>184</v>
      </c>
      <c r="E42" s="61" t="n">
        <v>16</v>
      </c>
      <c r="F42" s="62" t="n">
        <v>2</v>
      </c>
      <c r="G42" s="63" t="n">
        <v>0.97</v>
      </c>
      <c r="H42" s="64" t="n">
        <f aca="false">IF(OR($A42="",$C42=0,$C42=""),"",$E42/$C42)</f>
        <v>0.016</v>
      </c>
      <c r="I42" s="65" t="n">
        <f aca="false">IF(OR($A42="",$G42=0,$G42=""),"",$H42/$G42)</f>
        <v>0.0164948453608247</v>
      </c>
      <c r="J42" s="66" t="n">
        <f aca="false">IF($A42="","",$E42*$F42)</f>
        <v>32</v>
      </c>
      <c r="K42" s="59"/>
    </row>
    <row r="43" customFormat="false" ht="15" hidden="false" customHeight="true" outlineLevel="0" collapsed="false">
      <c r="A43" s="59" t="s">
        <v>213</v>
      </c>
      <c r="B43" s="59" t="s">
        <v>210</v>
      </c>
      <c r="C43" s="60" t="n">
        <v>1</v>
      </c>
      <c r="D43" s="59" t="s">
        <v>173</v>
      </c>
      <c r="E43" s="61" t="n">
        <v>4.2</v>
      </c>
      <c r="F43" s="62" t="n">
        <v>12</v>
      </c>
      <c r="G43" s="63" t="n">
        <v>0.78</v>
      </c>
      <c r="H43" s="64" t="n">
        <f aca="false">IF(OR($A43="",$C43=0,$C43=""),"",$E43/$C43)</f>
        <v>4.2</v>
      </c>
      <c r="I43" s="65" t="n">
        <f aca="false">IF(OR($A43="",$G43=0,$G43=""),"",$H43/$G43)</f>
        <v>5.38461538461539</v>
      </c>
      <c r="J43" s="66" t="n">
        <f aca="false">IF($A43="","",$E43*$F43)</f>
        <v>50.4</v>
      </c>
      <c r="K43" s="59"/>
    </row>
    <row r="44" customFormat="false" ht="15" hidden="false" customHeight="true" outlineLevel="0" collapsed="false">
      <c r="A44" s="59" t="s">
        <v>214</v>
      </c>
      <c r="B44" s="59" t="s">
        <v>210</v>
      </c>
      <c r="C44" s="60" t="n">
        <v>500</v>
      </c>
      <c r="D44" s="59" t="s">
        <v>184</v>
      </c>
      <c r="E44" s="61" t="n">
        <v>14</v>
      </c>
      <c r="F44" s="62" t="n">
        <v>2</v>
      </c>
      <c r="G44" s="63" t="n">
        <v>0.94</v>
      </c>
      <c r="H44" s="64" t="n">
        <f aca="false">IF(OR($A44="",$C44=0,$C44=""),"",$E44/$C44)</f>
        <v>0.028</v>
      </c>
      <c r="I44" s="65" t="n">
        <f aca="false">IF(OR($A44="",$G44=0,$G44=""),"",$H44/$G44)</f>
        <v>0.0297872340425532</v>
      </c>
      <c r="J44" s="66" t="n">
        <f aca="false">IF($A44="","",$E44*$F44)</f>
        <v>28</v>
      </c>
      <c r="K44" s="59"/>
    </row>
    <row r="45" customFormat="false" ht="15" hidden="false" customHeight="true" outlineLevel="0" collapsed="false">
      <c r="A45" s="59" t="s">
        <v>215</v>
      </c>
      <c r="B45" s="59" t="s">
        <v>210</v>
      </c>
      <c r="C45" s="60" t="n">
        <v>200</v>
      </c>
      <c r="D45" s="59" t="s">
        <v>184</v>
      </c>
      <c r="E45" s="61" t="n">
        <v>9</v>
      </c>
      <c r="F45" s="62" t="n">
        <v>5</v>
      </c>
      <c r="G45" s="63" t="n">
        <v>0.92</v>
      </c>
      <c r="H45" s="64" t="n">
        <f aca="false">IF(OR($A45="",$C45=0,$C45=""),"",$E45/$C45)</f>
        <v>0.045</v>
      </c>
      <c r="I45" s="65" t="n">
        <f aca="false">IF(OR($A45="",$G45=0,$G45=""),"",$H45/$G45)</f>
        <v>0.0489130434782609</v>
      </c>
      <c r="J45" s="66" t="n">
        <f aca="false">IF($A45="","",$E45*$F45)</f>
        <v>45</v>
      </c>
      <c r="K45" s="59"/>
    </row>
    <row r="46" customFormat="false" ht="15" hidden="false" customHeight="true" outlineLevel="0" collapsed="false">
      <c r="A46" s="59" t="s">
        <v>216</v>
      </c>
      <c r="B46" s="59" t="s">
        <v>210</v>
      </c>
      <c r="C46" s="60" t="n">
        <v>1000</v>
      </c>
      <c r="D46" s="59" t="s">
        <v>184</v>
      </c>
      <c r="E46" s="61" t="n">
        <v>6</v>
      </c>
      <c r="F46" s="62" t="n">
        <v>5</v>
      </c>
      <c r="G46" s="63" t="n">
        <v>0.95</v>
      </c>
      <c r="H46" s="64" t="n">
        <f aca="false">IF(OR($A46="",$C46=0,$C46=""),"",$E46/$C46)</f>
        <v>0.006</v>
      </c>
      <c r="I46" s="65" t="n">
        <f aca="false">IF(OR($A46="",$G46=0,$G46=""),"",$H46/$G46)</f>
        <v>0.00631578947368421</v>
      </c>
      <c r="J46" s="66" t="n">
        <f aca="false">IF($A46="","",$E46*$F46)</f>
        <v>30</v>
      </c>
      <c r="K46" s="59"/>
    </row>
    <row r="47" customFormat="false" ht="15" hidden="false" customHeight="true" outlineLevel="0" collapsed="false">
      <c r="A47" s="59" t="s">
        <v>217</v>
      </c>
      <c r="B47" s="59" t="s">
        <v>210</v>
      </c>
      <c r="C47" s="60" t="n">
        <v>1000</v>
      </c>
      <c r="D47" s="59" t="s">
        <v>184</v>
      </c>
      <c r="E47" s="61" t="n">
        <v>5.5</v>
      </c>
      <c r="F47" s="62" t="n">
        <v>10</v>
      </c>
      <c r="G47" s="63" t="n">
        <v>0.88</v>
      </c>
      <c r="H47" s="64" t="n">
        <f aca="false">IF(OR($A47="",$C47=0,$C47=""),"",$E47/$C47)</f>
        <v>0.0055</v>
      </c>
      <c r="I47" s="65" t="n">
        <f aca="false">IF(OR($A47="",$G47=0,$G47=""),"",$H47/$G47)</f>
        <v>0.00625</v>
      </c>
      <c r="J47" s="66" t="n">
        <f aca="false">IF($A47="","",$E47*$F47)</f>
        <v>55</v>
      </c>
      <c r="K47" s="59"/>
    </row>
    <row r="49" customFormat="false" ht="31.5" hidden="false" customHeight="true" outlineLevel="0" collapsed="false">
      <c r="A49" s="13" t="s">
        <v>218</v>
      </c>
      <c r="B49" s="13"/>
      <c r="C49" s="13"/>
      <c r="D49" s="13"/>
      <c r="E49" s="13"/>
      <c r="F49" s="13"/>
      <c r="G49" s="13"/>
      <c r="H49" s="13"/>
      <c r="I49" s="13"/>
      <c r="J49" s="13"/>
      <c r="K49" s="13"/>
    </row>
    <row r="50" customFormat="false" ht="31.5" hidden="false" customHeight="true" outlineLevel="0" collapsed="false">
      <c r="A50" s="13" t="s">
        <v>219</v>
      </c>
      <c r="B50" s="13"/>
      <c r="C50" s="13"/>
      <c r="D50" s="13"/>
      <c r="E50" s="13"/>
      <c r="F50" s="13"/>
      <c r="G50" s="13"/>
      <c r="H50" s="13"/>
      <c r="I50" s="13"/>
      <c r="J50" s="13"/>
      <c r="K50" s="13"/>
    </row>
    <row r="51" customFormat="false" ht="31.5" hidden="false" customHeight="true" outlineLevel="0" collapsed="false">
      <c r="A51" s="13" t="s">
        <v>220</v>
      </c>
      <c r="B51" s="13"/>
      <c r="C51" s="13"/>
      <c r="D51" s="13"/>
      <c r="E51" s="13"/>
      <c r="F51" s="13"/>
      <c r="G51" s="13"/>
      <c r="H51" s="13"/>
      <c r="I51" s="13"/>
      <c r="J51" s="13"/>
      <c r="K51" s="13"/>
    </row>
  </sheetData>
  <sheetProtection sheet="true" password="b7e1" objects="true" scenarios="true" formatCells="false" formatColumns="false" formatRows="false" sort="false" autoFilter="false"/>
  <mergeCells count="4">
    <mergeCell ref="A3:K3"/>
    <mergeCell ref="A49:K49"/>
    <mergeCell ref="A50:K50"/>
    <mergeCell ref="A51:K51"/>
  </mergeCells>
  <printOptions headings="false" gridLines="false" gridLinesSet="true" horizontalCentered="false" verticalCentered="false"/>
  <pageMargins left="0.4" right="0.4" top="0.5" bottom="0.5"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&amp;K6b6157Back of House - Recipes and Costing&amp;R&amp;8 &amp;K6b6157backofhouseco.com</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3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4"/>
    <col collapsed="false" customWidth="true" hidden="false" outlineLevel="0" max="2" min="2" style="1" width="13"/>
    <col collapsed="false" customWidth="true" hidden="false" outlineLevel="0" max="3" min="3" style="1" width="10"/>
    <col collapsed="false" customWidth="true" hidden="false" outlineLevel="0" max="4" min="4" style="1" width="18"/>
    <col collapsed="false" customWidth="true" hidden="false" outlineLevel="0" max="5" min="5" style="1" width="14"/>
    <col collapsed="false" customWidth="true" hidden="false" outlineLevel="0" max="6" min="6" style="1" width="50"/>
  </cols>
  <sheetData>
    <row r="1" customFormat="false" ht="18" hidden="false" customHeight="true" outlineLevel="0" collapsed="false">
      <c r="A1" s="12" t="s">
        <v>20</v>
      </c>
    </row>
    <row r="2" customFormat="false" ht="15" hidden="false" customHeight="true" outlineLevel="0" collapsed="false">
      <c r="A2" s="37" t="str">
        <f aca="false">" Sauces, dressings, marinades and batters. Cost the batch once, and every dish that uses it picks up the cost per gram. EXCLUDING VAT, in "&amp;Settings!$D$11&amp;"."</f>
        <v> Sauces, dressings, marinades and batters. Cost the batch once, and every dish that uses it picks up the cost per gram. EXCLUDING VAT, in AED.</v>
      </c>
    </row>
    <row r="3" customFormat="false" ht="15" hidden="false" customHeight="true" outlineLevel="0" collapsed="false">
      <c r="A3" s="13" t="s">
        <v>221</v>
      </c>
      <c r="B3" s="13"/>
      <c r="C3" s="13"/>
      <c r="D3" s="13"/>
      <c r="E3" s="13"/>
      <c r="F3" s="13"/>
    </row>
    <row r="5" customFormat="false" ht="15" hidden="false" customHeight="true" outlineLevel="0" collapsed="false">
      <c r="A5" s="15" t="s">
        <v>222</v>
      </c>
      <c r="B5" s="8"/>
      <c r="C5" s="8"/>
      <c r="D5" s="8"/>
      <c r="E5" s="8"/>
      <c r="F5" s="8"/>
    </row>
    <row r="6" customFormat="false" ht="15" hidden="false" customHeight="true" outlineLevel="0" collapsed="false">
      <c r="A6" s="19" t="s">
        <v>223</v>
      </c>
      <c r="B6" s="20" t="s">
        <v>224</v>
      </c>
      <c r="C6" s="20"/>
      <c r="D6" s="20"/>
    </row>
    <row r="7" customFormat="false" ht="15" hidden="false" customHeight="true" outlineLevel="0" collapsed="false">
      <c r="A7" s="17" t="s">
        <v>225</v>
      </c>
      <c r="B7" s="67" t="n">
        <v>1000</v>
      </c>
      <c r="C7" s="18" t="s">
        <v>184</v>
      </c>
      <c r="F7" s="21" t="s">
        <v>226</v>
      </c>
    </row>
    <row r="8" customFormat="false" ht="19.5" hidden="false" customHeight="true" outlineLevel="0" collapsed="false">
      <c r="A8" s="33" t="s">
        <v>157</v>
      </c>
      <c r="B8" s="34" t="s">
        <v>227</v>
      </c>
      <c r="C8" s="34" t="s">
        <v>160</v>
      </c>
      <c r="D8" s="34" t="s">
        <v>228</v>
      </c>
      <c r="E8" s="34" t="s">
        <v>229</v>
      </c>
      <c r="F8" s="34"/>
    </row>
    <row r="9" customFormat="false" ht="15" hidden="false" customHeight="true" outlineLevel="0" collapsed="false">
      <c r="A9" s="59" t="s">
        <v>230</v>
      </c>
      <c r="B9" s="60" t="n">
        <v>600</v>
      </c>
      <c r="C9" s="68" t="str">
        <f aca="false">IFERROR(IF($A9="","",INDEX(Ingredients!$D$8:$D$47,MATCH($A9,Ingredients!$A$8:$A$47,0))),"")</f>
        <v/>
      </c>
      <c r="D9" s="69" t="str">
        <f aca="false">IFERROR(IF($A9="","",INDEX(Ingredients!$I$8:$I$47,MATCH($A9,Ingredients!$A$8:$A$47,0))),"")</f>
        <v/>
      </c>
      <c r="E9" s="70" t="str">
        <f aca="false">IFERROR(IF(OR($A9="",$B9=""),"",$D9*$B9),"")</f>
        <v/>
      </c>
    </row>
    <row r="10" customFormat="false" ht="15" hidden="false" customHeight="true" outlineLevel="0" collapsed="false">
      <c r="A10" s="59" t="s">
        <v>231</v>
      </c>
      <c r="B10" s="60" t="n">
        <v>250</v>
      </c>
      <c r="C10" s="68" t="str">
        <f aca="false">IFERROR(IF($A10="","",INDEX(Ingredients!$D$8:$D$47,MATCH($A10,Ingredients!$A$8:$A$47,0))),"")</f>
        <v/>
      </c>
      <c r="D10" s="69" t="str">
        <f aca="false">IFERROR(IF($A10="","",INDEX(Ingredients!$I$8:$I$47,MATCH($A10,Ingredients!$A$8:$A$47,0))),"")</f>
        <v/>
      </c>
      <c r="E10" s="70" t="str">
        <f aca="false">IFERROR(IF(OR($A10="",$B10=""),"",$D10*$B10),"")</f>
        <v/>
      </c>
    </row>
    <row r="11" customFormat="false" ht="15" hidden="false" customHeight="true" outlineLevel="0" collapsed="false">
      <c r="A11" s="59" t="s">
        <v>232</v>
      </c>
      <c r="B11" s="60" t="n">
        <v>60</v>
      </c>
      <c r="C11" s="68" t="str">
        <f aca="false">IFERROR(IF($A11="","",INDEX(Ingredients!$D$8:$D$47,MATCH($A11,Ingredients!$A$8:$A$47,0))),"")</f>
        <v/>
      </c>
      <c r="D11" s="69" t="str">
        <f aca="false">IFERROR(IF($A11="","",INDEX(Ingredients!$I$8:$I$47,MATCH($A11,Ingredients!$A$8:$A$47,0))),"")</f>
        <v/>
      </c>
      <c r="E11" s="70" t="str">
        <f aca="false">IFERROR(IF(OR($A11="",$B11=""),"",$D11*$B11),"")</f>
        <v/>
      </c>
    </row>
    <row r="12" customFormat="false" ht="15" hidden="false" customHeight="true" outlineLevel="0" collapsed="false">
      <c r="A12" s="59" t="s">
        <v>233</v>
      </c>
      <c r="B12" s="60" t="n">
        <v>80</v>
      </c>
      <c r="C12" s="68" t="str">
        <f aca="false">IFERROR(IF($A12="","",INDEX(Ingredients!$D$8:$D$47,MATCH($A12,Ingredients!$A$8:$A$47,0))),"")</f>
        <v/>
      </c>
      <c r="D12" s="69" t="str">
        <f aca="false">IFERROR(IF($A12="","",INDEX(Ingredients!$I$8:$I$47,MATCH($A12,Ingredients!$A$8:$A$47,0))),"")</f>
        <v/>
      </c>
      <c r="E12" s="70" t="str">
        <f aca="false">IFERROR(IF(OR($A12="",$B12=""),"",$D12*$B12),"")</f>
        <v/>
      </c>
    </row>
    <row r="13" customFormat="false" ht="15" hidden="false" customHeight="true" outlineLevel="0" collapsed="false">
      <c r="A13" s="59" t="s">
        <v>234</v>
      </c>
      <c r="B13" s="60" t="n">
        <v>6</v>
      </c>
      <c r="C13" s="68" t="str">
        <f aca="false">IFERROR(IF($A13="","",INDEX(Ingredients!$D$8:$D$47,MATCH($A13,Ingredients!$A$8:$A$47,0))),"")</f>
        <v/>
      </c>
      <c r="D13" s="69" t="str">
        <f aca="false">IFERROR(IF($A13="","",INDEX(Ingredients!$I$8:$I$47,MATCH($A13,Ingredients!$A$8:$A$47,0))),"")</f>
        <v/>
      </c>
      <c r="E13" s="70" t="str">
        <f aca="false">IFERROR(IF(OR($A13="",$B13=""),"",$D13*$B13),"")</f>
        <v/>
      </c>
    </row>
    <row r="14" customFormat="false" ht="15" hidden="false" customHeight="true" outlineLevel="0" collapsed="false">
      <c r="A14" s="59" t="s">
        <v>235</v>
      </c>
      <c r="B14" s="60" t="n">
        <v>2</v>
      </c>
      <c r="C14" s="68" t="str">
        <f aca="false">IFERROR(IF($A14="","",INDEX(Ingredients!$D$8:$D$47,MATCH($A14,Ingredients!$A$8:$A$47,0))),"")</f>
        <v/>
      </c>
      <c r="D14" s="69" t="str">
        <f aca="false">IFERROR(IF($A14="","",INDEX(Ingredients!$I$8:$I$47,MATCH($A14,Ingredients!$A$8:$A$47,0))),"")</f>
        <v/>
      </c>
      <c r="E14" s="70" t="str">
        <f aca="false">IFERROR(IF(OR($A14="",$B14=""),"",$D14*$B14),"")</f>
        <v/>
      </c>
    </row>
    <row r="15" customFormat="false" ht="15" hidden="false" customHeight="true" outlineLevel="0" collapsed="false">
      <c r="A15" s="59"/>
      <c r="B15" s="60"/>
      <c r="C15" s="68" t="str">
        <f aca="false">IFERROR(IF($A15="","",INDEX(Ingredients!$D$8:$D$47,MATCH($A15,Ingredients!$A$8:$A$47,0))),"")</f>
        <v/>
      </c>
      <c r="D15" s="69" t="str">
        <f aca="false">IFERROR(IF($A15="","",INDEX(Ingredients!$I$8:$I$47,MATCH($A15,Ingredients!$A$8:$A$47,0))),"")</f>
        <v/>
      </c>
      <c r="E15" s="70" t="str">
        <f aca="false">IFERROR(IF(OR($A15="",$B15=""),"",$D15*$B15),"")</f>
        <v/>
      </c>
    </row>
    <row r="16" customFormat="false" ht="15" hidden="false" customHeight="true" outlineLevel="0" collapsed="false">
      <c r="A16" s="59"/>
      <c r="B16" s="60"/>
      <c r="C16" s="68" t="str">
        <f aca="false">IFERROR(IF($A16="","",INDEX(Ingredients!$D$8:$D$47,MATCH($A16,Ingredients!$A$8:$A$47,0))),"")</f>
        <v/>
      </c>
      <c r="D16" s="69" t="str">
        <f aca="false">IFERROR(IF($A16="","",INDEX(Ingredients!$I$8:$I$47,MATCH($A16,Ingredients!$A$8:$A$47,0))),"")</f>
        <v/>
      </c>
      <c r="E16" s="70" t="str">
        <f aca="false">IFERROR(IF(OR($A16="",$B16=""),"",$D16*$B16),"")</f>
        <v/>
      </c>
    </row>
    <row r="17" customFormat="false" ht="15" hidden="false" customHeight="true" outlineLevel="0" collapsed="false">
      <c r="A17" s="59"/>
      <c r="B17" s="60"/>
      <c r="C17" s="68" t="str">
        <f aca="false">IFERROR(IF($A17="","",INDEX(Ingredients!$D$8:$D$47,MATCH($A17,Ingredients!$A$8:$A$47,0))),"")</f>
        <v/>
      </c>
      <c r="D17" s="69" t="str">
        <f aca="false">IFERROR(IF($A17="","",INDEX(Ingredients!$I$8:$I$47,MATCH($A17,Ingredients!$A$8:$A$47,0))),"")</f>
        <v/>
      </c>
      <c r="E17" s="70" t="str">
        <f aca="false">IFERROR(IF(OR($A17="",$B17=""),"",$D17*$B17),"")</f>
        <v/>
      </c>
    </row>
    <row r="18" customFormat="false" ht="15" hidden="false" customHeight="true" outlineLevel="0" collapsed="false">
      <c r="A18" s="59"/>
      <c r="B18" s="60"/>
      <c r="C18" s="68" t="str">
        <f aca="false">IFERROR(IF($A18="","",INDEX(Ingredients!$D$8:$D$47,MATCH($A18,Ingredients!$A$8:$A$47,0))),"")</f>
        <v/>
      </c>
      <c r="D18" s="69" t="str">
        <f aca="false">IFERROR(IF($A18="","",INDEX(Ingredients!$I$8:$I$47,MATCH($A18,Ingredients!$A$8:$A$47,0))),"")</f>
        <v/>
      </c>
      <c r="E18" s="70" t="str">
        <f aca="false">IFERROR(IF(OR($A18="",$B18=""),"",$D18*$B18),"")</f>
        <v/>
      </c>
    </row>
    <row r="19" customFormat="false" ht="15" hidden="false" customHeight="true" outlineLevel="0" collapsed="false">
      <c r="A19" s="71" t="s">
        <v>236</v>
      </c>
      <c r="B19" s="72"/>
      <c r="C19" s="72"/>
      <c r="D19" s="72"/>
      <c r="E19" s="73" t="n">
        <f aca="false">SUM($E$9:$E$18)</f>
        <v>0</v>
      </c>
      <c r="F19" s="72"/>
    </row>
    <row r="20" customFormat="false" ht="15.75" hidden="false" customHeight="true" outlineLevel="0" collapsed="false">
      <c r="A20" s="74" t="s">
        <v>237</v>
      </c>
      <c r="B20" s="75"/>
      <c r="C20" s="75"/>
      <c r="D20" s="75"/>
      <c r="E20" s="76" t="n">
        <f aca="false">IFERROR(IF($B$7=0,"",$E$19/$B$7),"")</f>
        <v>0</v>
      </c>
      <c r="F20" s="77" t="str">
        <f aca="false">IF($B$7="","","This is what one "&amp;$C$7&amp;" of it costs you")</f>
        <v>This is what one g of it costs you</v>
      </c>
    </row>
    <row r="21" customFormat="false" ht="15" hidden="false" customHeight="true" outlineLevel="0" collapsed="false">
      <c r="A21" s="15" t="s">
        <v>238</v>
      </c>
      <c r="B21" s="8"/>
      <c r="C21" s="8"/>
      <c r="D21" s="8"/>
      <c r="E21" s="8"/>
      <c r="F21" s="8"/>
    </row>
    <row r="22" customFormat="false" ht="15" hidden="false" customHeight="true" outlineLevel="0" collapsed="false">
      <c r="A22" s="19" t="s">
        <v>223</v>
      </c>
      <c r="B22" s="20" t="s">
        <v>239</v>
      </c>
      <c r="C22" s="20"/>
      <c r="D22" s="20"/>
    </row>
    <row r="23" customFormat="false" ht="15" hidden="false" customHeight="true" outlineLevel="0" collapsed="false">
      <c r="A23" s="17" t="s">
        <v>225</v>
      </c>
      <c r="B23" s="67" t="n">
        <v>1000</v>
      </c>
      <c r="C23" s="18" t="s">
        <v>184</v>
      </c>
      <c r="F23" s="21" t="s">
        <v>226</v>
      </c>
    </row>
    <row r="24" customFormat="false" ht="19.5" hidden="false" customHeight="true" outlineLevel="0" collapsed="false">
      <c r="A24" s="33" t="s">
        <v>157</v>
      </c>
      <c r="B24" s="34" t="s">
        <v>227</v>
      </c>
      <c r="C24" s="34" t="s">
        <v>160</v>
      </c>
      <c r="D24" s="34" t="s">
        <v>228</v>
      </c>
      <c r="E24" s="34" t="s">
        <v>229</v>
      </c>
      <c r="F24" s="34"/>
    </row>
    <row r="25" customFormat="false" ht="15" hidden="false" customHeight="true" outlineLevel="0" collapsed="false">
      <c r="A25" s="59" t="s">
        <v>230</v>
      </c>
      <c r="B25" s="60" t="n">
        <v>620</v>
      </c>
      <c r="C25" s="68" t="str">
        <f aca="false">IFERROR(IF($A25="","",INDEX(Ingredients!$D$8:$D$47,MATCH($A25,Ingredients!$A$8:$A$47,0))),"")</f>
        <v/>
      </c>
      <c r="D25" s="69" t="str">
        <f aca="false">IFERROR(IF($A25="","",INDEX(Ingredients!$I$8:$I$47,MATCH($A25,Ingredients!$A$8:$A$47,0))),"")</f>
        <v/>
      </c>
      <c r="E25" s="70" t="str">
        <f aca="false">IFERROR(IF(OR($A25="",$B25=""),"",$D25*$B25),"")</f>
        <v/>
      </c>
    </row>
    <row r="26" customFormat="false" ht="15" hidden="false" customHeight="true" outlineLevel="0" collapsed="false">
      <c r="A26" s="59" t="s">
        <v>187</v>
      </c>
      <c r="B26" s="60" t="n">
        <v>120</v>
      </c>
      <c r="C26" s="68" t="str">
        <f aca="false">IFERROR(IF($A26="","",INDEX(Ingredients!$D$8:$D$47,MATCH($A26,Ingredients!$A$8:$A$47,0))),"")</f>
        <v>g</v>
      </c>
      <c r="D26" s="69" t="n">
        <f aca="false">IFERROR(IF($A26="","",INDEX(Ingredients!$I$8:$I$47,MATCH($A26,Ingredients!$A$8:$A$47,0))),"")</f>
        <v>0.078</v>
      </c>
      <c r="E26" s="70" t="n">
        <f aca="false">IFERROR(IF(OR($A26="",$B26=""),"",$D26*$B26),"")</f>
        <v>9.36</v>
      </c>
    </row>
    <row r="27" customFormat="false" ht="15" hidden="false" customHeight="true" outlineLevel="0" collapsed="false">
      <c r="A27" s="59" t="s">
        <v>232</v>
      </c>
      <c r="B27" s="60" t="n">
        <v>50</v>
      </c>
      <c r="C27" s="68" t="str">
        <f aca="false">IFERROR(IF($A27="","",INDEX(Ingredients!$D$8:$D$47,MATCH($A27,Ingredients!$A$8:$A$47,0))),"")</f>
        <v/>
      </c>
      <c r="D27" s="69" t="str">
        <f aca="false">IFERROR(IF($A27="","",INDEX(Ingredients!$I$8:$I$47,MATCH($A27,Ingredients!$A$8:$A$47,0))),"")</f>
        <v/>
      </c>
      <c r="E27" s="70" t="str">
        <f aca="false">IFERROR(IF(OR($A27="",$B27=""),"",$D27*$B27),"")</f>
        <v/>
      </c>
    </row>
    <row r="28" customFormat="false" ht="15" hidden="false" customHeight="true" outlineLevel="0" collapsed="false">
      <c r="A28" s="59" t="s">
        <v>240</v>
      </c>
      <c r="B28" s="60" t="n">
        <v>20</v>
      </c>
      <c r="C28" s="68" t="str">
        <f aca="false">IFERROR(IF($A28="","",INDEX(Ingredients!$D$8:$D$47,MATCH($A28,Ingredients!$A$8:$A$47,0))),"")</f>
        <v/>
      </c>
      <c r="D28" s="69" t="str">
        <f aca="false">IFERROR(IF($A28="","",INDEX(Ingredients!$I$8:$I$47,MATCH($A28,Ingredients!$A$8:$A$47,0))),"")</f>
        <v/>
      </c>
      <c r="E28" s="70" t="str">
        <f aca="false">IFERROR(IF(OR($A28="",$B28=""),"",$D28*$B28),"")</f>
        <v/>
      </c>
    </row>
    <row r="29" customFormat="false" ht="15" hidden="false" customHeight="true" outlineLevel="0" collapsed="false">
      <c r="A29" s="59" t="s">
        <v>241</v>
      </c>
      <c r="B29" s="60" t="n">
        <v>120</v>
      </c>
      <c r="C29" s="68" t="str">
        <f aca="false">IFERROR(IF($A29="","",INDEX(Ingredients!$D$8:$D$47,MATCH($A29,Ingredients!$A$8:$A$47,0))),"")</f>
        <v/>
      </c>
      <c r="D29" s="69" t="str">
        <f aca="false">IFERROR(IF($A29="","",INDEX(Ingredients!$I$8:$I$47,MATCH($A29,Ingredients!$A$8:$A$47,0))),"")</f>
        <v/>
      </c>
      <c r="E29" s="70" t="str">
        <f aca="false">IFERROR(IF(OR($A29="",$B29=""),"",$D29*$B29),"")</f>
        <v/>
      </c>
    </row>
    <row r="30" customFormat="false" ht="15" hidden="false" customHeight="true" outlineLevel="0" collapsed="false">
      <c r="A30" s="59" t="s">
        <v>235</v>
      </c>
      <c r="B30" s="60" t="n">
        <v>4</v>
      </c>
      <c r="C30" s="68" t="str">
        <f aca="false">IFERROR(IF($A30="","",INDEX(Ingredients!$D$8:$D$47,MATCH($A30,Ingredients!$A$8:$A$47,0))),"")</f>
        <v/>
      </c>
      <c r="D30" s="69" t="str">
        <f aca="false">IFERROR(IF($A30="","",INDEX(Ingredients!$I$8:$I$47,MATCH($A30,Ingredients!$A$8:$A$47,0))),"")</f>
        <v/>
      </c>
      <c r="E30" s="70" t="str">
        <f aca="false">IFERROR(IF(OR($A30="",$B30=""),"",$D30*$B30),"")</f>
        <v/>
      </c>
    </row>
    <row r="31" customFormat="false" ht="15" hidden="false" customHeight="true" outlineLevel="0" collapsed="false">
      <c r="A31" s="59"/>
      <c r="B31" s="60"/>
      <c r="C31" s="68" t="str">
        <f aca="false">IFERROR(IF($A31="","",INDEX(Ingredients!$D$8:$D$47,MATCH($A31,Ingredients!$A$8:$A$47,0))),"")</f>
        <v/>
      </c>
      <c r="D31" s="69" t="str">
        <f aca="false">IFERROR(IF($A31="","",INDEX(Ingredients!$I$8:$I$47,MATCH($A31,Ingredients!$A$8:$A$47,0))),"")</f>
        <v/>
      </c>
      <c r="E31" s="70" t="str">
        <f aca="false">IFERROR(IF(OR($A31="",$B31=""),"",$D31*$B31),"")</f>
        <v/>
      </c>
    </row>
    <row r="32" customFormat="false" ht="15" hidden="false" customHeight="true" outlineLevel="0" collapsed="false">
      <c r="A32" s="59"/>
      <c r="B32" s="60"/>
      <c r="C32" s="68" t="str">
        <f aca="false">IFERROR(IF($A32="","",INDEX(Ingredients!$D$8:$D$47,MATCH($A32,Ingredients!$A$8:$A$47,0))),"")</f>
        <v/>
      </c>
      <c r="D32" s="69" t="str">
        <f aca="false">IFERROR(IF($A32="","",INDEX(Ingredients!$I$8:$I$47,MATCH($A32,Ingredients!$A$8:$A$47,0))),"")</f>
        <v/>
      </c>
      <c r="E32" s="70" t="str">
        <f aca="false">IFERROR(IF(OR($A32="",$B32=""),"",$D32*$B32),"")</f>
        <v/>
      </c>
    </row>
    <row r="33" customFormat="false" ht="15" hidden="false" customHeight="true" outlineLevel="0" collapsed="false">
      <c r="A33" s="59"/>
      <c r="B33" s="60"/>
      <c r="C33" s="68" t="str">
        <f aca="false">IFERROR(IF($A33="","",INDEX(Ingredients!$D$8:$D$47,MATCH($A33,Ingredients!$A$8:$A$47,0))),"")</f>
        <v/>
      </c>
      <c r="D33" s="69" t="str">
        <f aca="false">IFERROR(IF($A33="","",INDEX(Ingredients!$I$8:$I$47,MATCH($A33,Ingredients!$A$8:$A$47,0))),"")</f>
        <v/>
      </c>
      <c r="E33" s="70" t="str">
        <f aca="false">IFERROR(IF(OR($A33="",$B33=""),"",$D33*$B33),"")</f>
        <v/>
      </c>
    </row>
    <row r="34" customFormat="false" ht="15" hidden="false" customHeight="true" outlineLevel="0" collapsed="false">
      <c r="A34" s="59"/>
      <c r="B34" s="60"/>
      <c r="C34" s="68" t="str">
        <f aca="false">IFERROR(IF($A34="","",INDEX(Ingredients!$D$8:$D$47,MATCH($A34,Ingredients!$A$8:$A$47,0))),"")</f>
        <v/>
      </c>
      <c r="D34" s="69" t="str">
        <f aca="false">IFERROR(IF($A34="","",INDEX(Ingredients!$I$8:$I$47,MATCH($A34,Ingredients!$A$8:$A$47,0))),"")</f>
        <v/>
      </c>
      <c r="E34" s="70" t="str">
        <f aca="false">IFERROR(IF(OR($A34="",$B34=""),"",$D34*$B34),"")</f>
        <v/>
      </c>
    </row>
    <row r="35" customFormat="false" ht="15" hidden="false" customHeight="true" outlineLevel="0" collapsed="false">
      <c r="A35" s="71" t="s">
        <v>236</v>
      </c>
      <c r="B35" s="72"/>
      <c r="C35" s="72"/>
      <c r="D35" s="72"/>
      <c r="E35" s="73" t="n">
        <f aca="false">SUM($E$25:$E$34)</f>
        <v>9.36</v>
      </c>
      <c r="F35" s="72"/>
    </row>
    <row r="36" customFormat="false" ht="15.75" hidden="false" customHeight="true" outlineLevel="0" collapsed="false">
      <c r="A36" s="74" t="s">
        <v>237</v>
      </c>
      <c r="B36" s="75"/>
      <c r="C36" s="75"/>
      <c r="D36" s="75"/>
      <c r="E36" s="76" t="n">
        <f aca="false">IFERROR(IF($B$23=0,"",$E$35/$B$23),"")</f>
        <v>0.00936</v>
      </c>
      <c r="F36" s="77" t="str">
        <f aca="false">IF($B$23="","","This is what one "&amp;$C$23&amp;" of it costs you")</f>
        <v>This is what one g of it costs you</v>
      </c>
    </row>
    <row r="38" customFormat="false" ht="15" hidden="false" customHeight="true" outlineLevel="0" collapsed="false">
      <c r="A38" s="13" t="s">
        <v>242</v>
      </c>
      <c r="B38" s="13"/>
      <c r="C38" s="13"/>
      <c r="D38" s="13"/>
      <c r="E38" s="13"/>
      <c r="F38" s="13"/>
    </row>
  </sheetData>
  <sheetProtection sheet="true" password="b7e1" objects="true" scenarios="true" formatCells="false" formatColumns="false" formatRows="false" sort="false" autoFilter="false"/>
  <mergeCells count="4">
    <mergeCell ref="A3:F3"/>
    <mergeCell ref="B6:D6"/>
    <mergeCell ref="B22:D22"/>
    <mergeCell ref="A38:F38"/>
  </mergeCells>
  <dataValidations count="1">
    <dataValidation allowBlank="true" errorStyle="stop" operator="between" showDropDown="false" showErrorMessage="false" showInputMessage="false" sqref="A9:A18 A25:A34" type="list">
      <formula1>RawIngredientList</formula1>
      <formula2>0</formula2>
    </dataValidation>
  </dataValidations>
  <printOptions headings="false" gridLines="false" gridLinesSet="true" horizontalCentered="false" verticalCentered="false"/>
  <pageMargins left="0.4" right="0.4" top="0.5" bottom="0.5"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&amp;L&amp;8 &amp;K6b6157Back of House - Recipes and Costing&amp;R&amp;8 &amp;K6b6157backofhouseco.com</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13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4"/>
    <col collapsed="false" customWidth="true" hidden="false" outlineLevel="0" max="2" min="2" style="1" width="13"/>
    <col collapsed="false" customWidth="true" hidden="false" outlineLevel="0" max="3" min="3" style="1" width="10"/>
    <col collapsed="false" customWidth="true" hidden="false" outlineLevel="0" max="4" min="4" style="1" width="18"/>
    <col collapsed="false" customWidth="true" hidden="false" outlineLevel="0" max="5" min="5" style="1" width="14"/>
    <col collapsed="false" customWidth="true" hidden="false" outlineLevel="0" max="6" min="6" style="1" width="15"/>
    <col collapsed="false" customWidth="true" hidden="false" outlineLevel="0" max="7" min="7" style="1" width="44"/>
  </cols>
  <sheetData>
    <row r="1" customFormat="false" ht="18" hidden="false" customHeight="true" outlineLevel="0" collapsed="false">
      <c r="A1" s="12" t="s">
        <v>243</v>
      </c>
    </row>
    <row r="2" customFormat="false" ht="15" hidden="false" customHeight="true" outlineLevel="0" collapsed="false">
      <c r="A2" s="37" t="str">
        <f aca="false">" 5 cards, 14 ingredient lines each. Pick from the dropdown and it brings its own unit and its usable cost with it. EXCLUDING VAT, in "&amp;Settings!$D$11&amp;"."</f>
        <v> 5 cards, 14 ingredient lines each. Pick from the dropdown and it brings its own unit and its usable cost with it. EXCLUDING VAT, in AED.</v>
      </c>
    </row>
    <row r="3" customFormat="false" ht="25.5" hidden="false" customHeight="true" outlineLevel="0" collapsed="false">
      <c r="A3" s="13" t="s">
        <v>244</v>
      </c>
      <c r="B3" s="13"/>
      <c r="C3" s="13"/>
      <c r="D3" s="13"/>
      <c r="E3" s="13"/>
      <c r="F3" s="13"/>
      <c r="G3" s="13"/>
    </row>
    <row r="5" customFormat="false" ht="15" hidden="false" customHeight="true" outlineLevel="0" collapsed="false">
      <c r="A5" s="15" t="s">
        <v>245</v>
      </c>
      <c r="B5" s="8"/>
      <c r="C5" s="8"/>
      <c r="D5" s="8"/>
      <c r="E5" s="8"/>
      <c r="F5" s="8"/>
      <c r="G5" s="8"/>
    </row>
    <row r="6" customFormat="false" ht="15" hidden="false" customHeight="true" outlineLevel="0" collapsed="false">
      <c r="A6" s="19" t="s">
        <v>246</v>
      </c>
      <c r="B6" s="20" t="s">
        <v>247</v>
      </c>
      <c r="C6" s="20"/>
      <c r="D6" s="20"/>
    </row>
    <row r="7" customFormat="false" ht="15" hidden="false" customHeight="true" outlineLevel="0" collapsed="false">
      <c r="A7" s="17" t="s">
        <v>248</v>
      </c>
      <c r="B7" s="67" t="n">
        <v>1</v>
      </c>
      <c r="G7" s="21" t="s">
        <v>249</v>
      </c>
    </row>
    <row r="8" customFormat="false" ht="15" hidden="false" customHeight="true" outlineLevel="0" collapsed="false">
      <c r="A8" s="17" t="s">
        <v>136</v>
      </c>
      <c r="B8" s="18" t="s">
        <v>250</v>
      </c>
      <c r="G8" s="21" t="s">
        <v>251</v>
      </c>
    </row>
    <row r="9" customFormat="false" ht="19.5" hidden="false" customHeight="true" outlineLevel="0" collapsed="false">
      <c r="A9" s="33" t="s">
        <v>252</v>
      </c>
      <c r="B9" s="34" t="s">
        <v>227</v>
      </c>
      <c r="C9" s="34" t="s">
        <v>160</v>
      </c>
      <c r="D9" s="34" t="s">
        <v>228</v>
      </c>
      <c r="E9" s="34" t="s">
        <v>229</v>
      </c>
      <c r="F9" s="34"/>
      <c r="G9" s="34"/>
    </row>
    <row r="10" customFormat="false" ht="15" hidden="false" customHeight="true" outlineLevel="0" collapsed="false">
      <c r="A10" s="59" t="s">
        <v>172</v>
      </c>
      <c r="B10" s="60" t="n">
        <v>1</v>
      </c>
      <c r="C10" s="68" t="str">
        <f aca="false">IFERROR(IF($A10="","",INDEX(Ingredients!$D$6:$D$47,MATCH($A10,Ingredients!$A$6:$A$47,0))),"")</f>
        <v>each</v>
      </c>
      <c r="D10" s="69" t="n">
        <f aca="false">IFERROR(IF($A10="","",INDEX(Ingredients!$I$6:$I$47,MATCH($A10,Ingredients!$A$6:$A$47,0))),"")</f>
        <v>2.2</v>
      </c>
      <c r="E10" s="70" t="n">
        <f aca="false">IFERROR(IF(OR($A10="",$B10=""),"",$D10*$B10),"")</f>
        <v>2.2</v>
      </c>
    </row>
    <row r="11" customFormat="false" ht="15" hidden="false" customHeight="true" outlineLevel="0" collapsed="false">
      <c r="A11" s="59" t="s">
        <v>182</v>
      </c>
      <c r="B11" s="60" t="n">
        <v>70</v>
      </c>
      <c r="C11" s="68" t="str">
        <f aca="false">IFERROR(IF($A11="","",INDEX(Ingredients!$D$6:$D$47,MATCH($A11,Ingredients!$A$6:$A$47,0))),"")</f>
        <v>g</v>
      </c>
      <c r="D11" s="69" t="n">
        <f aca="false">IFERROR(IF($A11="","",INDEX(Ingredients!$I$6:$I$47,MATCH($A11,Ingredients!$A$6:$A$47,0))),"")</f>
        <v>0.046</v>
      </c>
      <c r="E11" s="70" t="n">
        <f aca="false">IFERROR(IF(OR($A11="",$B11=""),"",$D11*$B11),"")</f>
        <v>3.22</v>
      </c>
    </row>
    <row r="12" customFormat="false" ht="15" hidden="false" customHeight="true" outlineLevel="0" collapsed="false">
      <c r="A12" s="59" t="s">
        <v>253</v>
      </c>
      <c r="B12" s="60" t="n">
        <v>6</v>
      </c>
      <c r="C12" s="68" t="str">
        <f aca="false">IFERROR(IF($A12="","",INDEX(Ingredients!$D$6:$D$47,MATCH($A12,Ingredients!$A$6:$A$47,0))),"")</f>
        <v/>
      </c>
      <c r="D12" s="69" t="str">
        <f aca="false">IFERROR(IF($A12="","",INDEX(Ingredients!$I$6:$I$47,MATCH($A12,Ingredients!$A$6:$A$47,0))),"")</f>
        <v/>
      </c>
      <c r="E12" s="70" t="str">
        <f aca="false">IFERROR(IF(OR($A12="",$B12=""),"",$D12*$B12),"")</f>
        <v/>
      </c>
    </row>
    <row r="13" customFormat="false" ht="15" hidden="false" customHeight="true" outlineLevel="0" collapsed="false">
      <c r="A13" s="59" t="s">
        <v>211</v>
      </c>
      <c r="B13" s="60" t="n">
        <v>40</v>
      </c>
      <c r="C13" s="68" t="str">
        <f aca="false">IFERROR(IF($A13="","",INDEX(Ingredients!$D$6:$D$47,MATCH($A13,Ingredients!$A$6:$A$47,0))),"")</f>
        <v>g</v>
      </c>
      <c r="D13" s="69" t="n">
        <f aca="false">IFERROR(IF($A13="","",INDEX(Ingredients!$I$6:$I$47,MATCH($A13,Ingredients!$A$6:$A$47,0))),"")</f>
        <v>0.00760869565217391</v>
      </c>
      <c r="E13" s="70" t="n">
        <f aca="false">IFERROR(IF(OR($A13="",$B13=""),"",$D13*$B13),"")</f>
        <v>0.304347826086957</v>
      </c>
    </row>
    <row r="14" customFormat="false" ht="15" hidden="false" customHeight="true" outlineLevel="0" collapsed="false">
      <c r="A14" s="59" t="s">
        <v>215</v>
      </c>
      <c r="B14" s="60" t="n">
        <v>15</v>
      </c>
      <c r="C14" s="68" t="str">
        <f aca="false">IFERROR(IF($A14="","",INDEX(Ingredients!$D$6:$D$47,MATCH($A14,Ingredients!$A$6:$A$47,0))),"")</f>
        <v>g</v>
      </c>
      <c r="D14" s="69" t="n">
        <f aca="false">IFERROR(IF($A14="","",INDEX(Ingredients!$I$6:$I$47,MATCH($A14,Ingredients!$A$6:$A$47,0))),"")</f>
        <v>0.0489130434782609</v>
      </c>
      <c r="E14" s="70" t="n">
        <f aca="false">IFERROR(IF(OR($A14="",$B14=""),"",$D14*$B14),"")</f>
        <v>0.733695652173913</v>
      </c>
    </row>
    <row r="15" customFormat="false" ht="15" hidden="false" customHeight="true" outlineLevel="0" collapsed="false">
      <c r="A15" s="59" t="s">
        <v>254</v>
      </c>
      <c r="B15" s="60" t="n">
        <v>8</v>
      </c>
      <c r="C15" s="68" t="str">
        <f aca="false">IFERROR(IF($A15="","",INDEX(Ingredients!$D$6:$D$47,MATCH($A15,Ingredients!$A$6:$A$47,0))),"")</f>
        <v/>
      </c>
      <c r="D15" s="69" t="str">
        <f aca="false">IFERROR(IF($A15="","",INDEX(Ingredients!$I$6:$I$47,MATCH($A15,Ingredients!$A$6:$A$47,0))),"")</f>
        <v/>
      </c>
      <c r="E15" s="70" t="str">
        <f aca="false">IFERROR(IF(OR($A15="",$B15=""),"",$D15*$B15),"")</f>
        <v/>
      </c>
    </row>
    <row r="16" customFormat="false" ht="15" hidden="false" customHeight="true" outlineLevel="0" collapsed="false">
      <c r="A16" s="59"/>
      <c r="B16" s="60"/>
      <c r="C16" s="68" t="str">
        <f aca="false">IFERROR(IF($A16="","",INDEX(Ingredients!$D$6:$D$47,MATCH($A16,Ingredients!$A$6:$A$47,0))),"")</f>
        <v/>
      </c>
      <c r="D16" s="69" t="str">
        <f aca="false">IFERROR(IF($A16="","",INDEX(Ingredients!$I$6:$I$47,MATCH($A16,Ingredients!$A$6:$A$47,0))),"")</f>
        <v/>
      </c>
      <c r="E16" s="70" t="str">
        <f aca="false">IFERROR(IF(OR($A16="",$B16=""),"",$D16*$B16),"")</f>
        <v/>
      </c>
    </row>
    <row r="17" customFormat="false" ht="15" hidden="false" customHeight="true" outlineLevel="0" collapsed="false">
      <c r="A17" s="59"/>
      <c r="B17" s="60"/>
      <c r="C17" s="68" t="str">
        <f aca="false">IFERROR(IF($A17="","",INDEX(Ingredients!$D$6:$D$47,MATCH($A17,Ingredients!$A$6:$A$47,0))),"")</f>
        <v/>
      </c>
      <c r="D17" s="69" t="str">
        <f aca="false">IFERROR(IF($A17="","",INDEX(Ingredients!$I$6:$I$47,MATCH($A17,Ingredients!$A$6:$A$47,0))),"")</f>
        <v/>
      </c>
      <c r="E17" s="70" t="str">
        <f aca="false">IFERROR(IF(OR($A17="",$B17=""),"",$D17*$B17),"")</f>
        <v/>
      </c>
    </row>
    <row r="18" customFormat="false" ht="15" hidden="false" customHeight="true" outlineLevel="0" collapsed="false">
      <c r="A18" s="59"/>
      <c r="B18" s="60"/>
      <c r="C18" s="68" t="str">
        <f aca="false">IFERROR(IF($A18="","",INDEX(Ingredients!$D$6:$D$47,MATCH($A18,Ingredients!$A$6:$A$47,0))),"")</f>
        <v/>
      </c>
      <c r="D18" s="69" t="str">
        <f aca="false">IFERROR(IF($A18="","",INDEX(Ingredients!$I$6:$I$47,MATCH($A18,Ingredients!$A$6:$A$47,0))),"")</f>
        <v/>
      </c>
      <c r="E18" s="70" t="str">
        <f aca="false">IFERROR(IF(OR($A18="",$B18=""),"",$D18*$B18),"")</f>
        <v/>
      </c>
    </row>
    <row r="19" customFormat="false" ht="15" hidden="false" customHeight="true" outlineLevel="0" collapsed="false">
      <c r="A19" s="59"/>
      <c r="B19" s="60"/>
      <c r="C19" s="68" t="str">
        <f aca="false">IFERROR(IF($A19="","",INDEX(Ingredients!$D$6:$D$47,MATCH($A19,Ingredients!$A$6:$A$47,0))),"")</f>
        <v/>
      </c>
      <c r="D19" s="69" t="str">
        <f aca="false">IFERROR(IF($A19="","",INDEX(Ingredients!$I$6:$I$47,MATCH($A19,Ingredients!$A$6:$A$47,0))),"")</f>
        <v/>
      </c>
      <c r="E19" s="70" t="str">
        <f aca="false">IFERROR(IF(OR($A19="",$B19=""),"",$D19*$B19),"")</f>
        <v/>
      </c>
    </row>
    <row r="20" customFormat="false" ht="15" hidden="false" customHeight="true" outlineLevel="0" collapsed="false">
      <c r="A20" s="59"/>
      <c r="B20" s="60"/>
      <c r="C20" s="68" t="str">
        <f aca="false">IFERROR(IF($A20="","",INDEX(Ingredients!$D$6:$D$47,MATCH($A20,Ingredients!$A$6:$A$47,0))),"")</f>
        <v/>
      </c>
      <c r="D20" s="69" t="str">
        <f aca="false">IFERROR(IF($A20="","",INDEX(Ingredients!$I$6:$I$47,MATCH($A20,Ingredients!$A$6:$A$47,0))),"")</f>
        <v/>
      </c>
      <c r="E20" s="70" t="str">
        <f aca="false">IFERROR(IF(OR($A20="",$B20=""),"",$D20*$B20),"")</f>
        <v/>
      </c>
    </row>
    <row r="21" customFormat="false" ht="15" hidden="false" customHeight="true" outlineLevel="0" collapsed="false">
      <c r="A21" s="59"/>
      <c r="B21" s="60"/>
      <c r="C21" s="68" t="str">
        <f aca="false">IFERROR(IF($A21="","",INDEX(Ingredients!$D$6:$D$47,MATCH($A21,Ingredients!$A$6:$A$47,0))),"")</f>
        <v/>
      </c>
      <c r="D21" s="69" t="str">
        <f aca="false">IFERROR(IF($A21="","",INDEX(Ingredients!$I$6:$I$47,MATCH($A21,Ingredients!$A$6:$A$47,0))),"")</f>
        <v/>
      </c>
      <c r="E21" s="70" t="str">
        <f aca="false">IFERROR(IF(OR($A21="",$B21=""),"",$D21*$B21),"")</f>
        <v/>
      </c>
    </row>
    <row r="22" customFormat="false" ht="15" hidden="false" customHeight="true" outlineLevel="0" collapsed="false">
      <c r="A22" s="59"/>
      <c r="B22" s="60"/>
      <c r="C22" s="68" t="str">
        <f aca="false">IFERROR(IF($A22="","",INDEX(Ingredients!$D$6:$D$47,MATCH($A22,Ingredients!$A$6:$A$47,0))),"")</f>
        <v/>
      </c>
      <c r="D22" s="69" t="str">
        <f aca="false">IFERROR(IF($A22="","",INDEX(Ingredients!$I$6:$I$47,MATCH($A22,Ingredients!$A$6:$A$47,0))),"")</f>
        <v/>
      </c>
      <c r="E22" s="70" t="str">
        <f aca="false">IFERROR(IF(OR($A22="",$B22=""),"",$D22*$B22),"")</f>
        <v/>
      </c>
    </row>
    <row r="23" customFormat="false" ht="15" hidden="false" customHeight="true" outlineLevel="0" collapsed="false">
      <c r="A23" s="59"/>
      <c r="B23" s="60"/>
      <c r="C23" s="68" t="str">
        <f aca="false">IFERROR(IF($A23="","",INDEX(Ingredients!$D$6:$D$47,MATCH($A23,Ingredients!$A$6:$A$47,0))),"")</f>
        <v/>
      </c>
      <c r="D23" s="69" t="str">
        <f aca="false">IFERROR(IF($A23="","",INDEX(Ingredients!$I$6:$I$47,MATCH($A23,Ingredients!$A$6:$A$47,0))),"")</f>
        <v/>
      </c>
      <c r="E23" s="70" t="str">
        <f aca="false">IFERROR(IF(OR($A23="",$B23=""),"",$D23*$B23),"")</f>
        <v/>
      </c>
    </row>
    <row r="24" customFormat="false" ht="15" hidden="false" customHeight="true" outlineLevel="0" collapsed="false">
      <c r="A24" s="71" t="s">
        <v>255</v>
      </c>
      <c r="B24" s="72"/>
      <c r="C24" s="72"/>
      <c r="D24" s="72"/>
      <c r="E24" s="73" t="n">
        <f aca="false">SUM($E$10:$E$23)</f>
        <v>6.45804347826087</v>
      </c>
      <c r="F24" s="72"/>
      <c r="G24" s="72"/>
    </row>
    <row r="25" customFormat="false" ht="17.25" hidden="false" customHeight="true" outlineLevel="0" collapsed="false">
      <c r="A25" s="74" t="s">
        <v>256</v>
      </c>
      <c r="B25" s="75"/>
      <c r="C25" s="75"/>
      <c r="D25" s="75"/>
      <c r="E25" s="78" t="n">
        <f aca="false">IFERROR(IF($B$7=0,"",$E$24/$B$7),"")</f>
        <v>6.45804347826087</v>
      </c>
      <c r="F25" s="75"/>
      <c r="G25" s="75"/>
    </row>
    <row r="27" customFormat="false" ht="15" hidden="false" customHeight="true" outlineLevel="0" collapsed="false">
      <c r="A27" s="79" t="s">
        <v>257</v>
      </c>
      <c r="B27" s="80"/>
      <c r="C27" s="80"/>
      <c r="D27" s="80"/>
      <c r="E27" s="81" t="n">
        <v>24</v>
      </c>
      <c r="F27" s="80"/>
      <c r="G27" s="82" t="s">
        <v>258</v>
      </c>
    </row>
    <row r="28" customFormat="false" ht="15" hidden="false" customHeight="true" outlineLevel="0" collapsed="false">
      <c r="A28" s="17" t="s">
        <v>259</v>
      </c>
      <c r="E28" s="83" t="n">
        <f aca="false">IFERROR($E$27/(1+Settings!$D$12),0)</f>
        <v>22.8571428571429</v>
      </c>
      <c r="G28" s="21" t="s">
        <v>260</v>
      </c>
    </row>
    <row r="29" customFormat="false" ht="15" hidden="false" customHeight="true" outlineLevel="0" collapsed="false">
      <c r="A29" s="17" t="s">
        <v>261</v>
      </c>
      <c r="E29" s="84" t="n">
        <f aca="false">IFERROR($E$25,0)</f>
        <v>6.45804347826087</v>
      </c>
      <c r="F29" s="85" t="n">
        <f aca="false">IFERROR($E$29/$E$28,0)</f>
        <v>0.282539402173913</v>
      </c>
    </row>
    <row r="30" customFormat="false" ht="15.75" hidden="false" customHeight="true" outlineLevel="0" collapsed="false">
      <c r="A30" s="74" t="s">
        <v>262</v>
      </c>
      <c r="B30" s="75"/>
      <c r="C30" s="75"/>
      <c r="D30" s="75"/>
      <c r="E30" s="86" t="n">
        <f aca="false">IFERROR($E$28-$E$29,0)</f>
        <v>16.399099378882</v>
      </c>
      <c r="F30" s="87" t="n">
        <f aca="false">IFERROR($E$30/$E$28,0)</f>
        <v>0.717460597826087</v>
      </c>
      <c r="G30" s="88" t="str">
        <f aca="false">IF($E$28=0,"",IF($F$30&gt;=IF($B$8="Coffee &amp; Tea",Settings!$B$19,IF($B$8="Juice &amp; Smoothie",Settings!$B$20,Settings!$B$18)),"On target  -  target "&amp;TEXT(IF($B$8="Coffee &amp; Tea",Settings!$B$19,IF($B$8="Juice &amp; Smoothie",Settings!$B$20,Settings!$B$18)),"0%"),"BELOW TARGET  -  target "&amp;TEXT(IF($B$8="Coffee &amp; Tea",Settings!$B$19,IF($B$8="Juice &amp; Smoothie",Settings!$B$20,Settings!$B$18)),"0%")))</f>
        <v>On target  -  target 65%</v>
      </c>
    </row>
    <row r="32" customFormat="false" ht="15" hidden="false" customHeight="true" outlineLevel="0" collapsed="false">
      <c r="A32" s="15" t="s">
        <v>263</v>
      </c>
      <c r="B32" s="8"/>
      <c r="C32" s="8"/>
      <c r="D32" s="8"/>
      <c r="E32" s="8"/>
      <c r="F32" s="8"/>
      <c r="G32" s="8"/>
    </row>
    <row r="33" customFormat="false" ht="15" hidden="false" customHeight="true" outlineLevel="0" collapsed="false">
      <c r="A33" s="19" t="s">
        <v>246</v>
      </c>
      <c r="B33" s="20" t="s">
        <v>264</v>
      </c>
      <c r="C33" s="20"/>
      <c r="D33" s="20"/>
    </row>
    <row r="34" customFormat="false" ht="15" hidden="false" customHeight="true" outlineLevel="0" collapsed="false">
      <c r="A34" s="17" t="s">
        <v>248</v>
      </c>
      <c r="B34" s="67" t="n">
        <v>1</v>
      </c>
      <c r="G34" s="21" t="s">
        <v>249</v>
      </c>
    </row>
    <row r="35" customFormat="false" ht="15" hidden="false" customHeight="true" outlineLevel="0" collapsed="false">
      <c r="A35" s="17" t="s">
        <v>136</v>
      </c>
      <c r="B35" s="18" t="s">
        <v>250</v>
      </c>
      <c r="G35" s="21" t="s">
        <v>251</v>
      </c>
    </row>
    <row r="36" customFormat="false" ht="19.5" hidden="false" customHeight="true" outlineLevel="0" collapsed="false">
      <c r="A36" s="33" t="s">
        <v>252</v>
      </c>
      <c r="B36" s="34" t="s">
        <v>227</v>
      </c>
      <c r="C36" s="34" t="s">
        <v>160</v>
      </c>
      <c r="D36" s="34" t="s">
        <v>228</v>
      </c>
      <c r="E36" s="34" t="s">
        <v>229</v>
      </c>
      <c r="F36" s="34"/>
      <c r="G36" s="34"/>
    </row>
    <row r="37" customFormat="false" ht="15" hidden="false" customHeight="true" outlineLevel="0" collapsed="false">
      <c r="A37" s="59" t="s">
        <v>169</v>
      </c>
      <c r="B37" s="60" t="n">
        <v>0.18</v>
      </c>
      <c r="C37" s="68" t="str">
        <f aca="false">IFERROR(IF($A37="","",INDEX(Ingredients!$D$6:$D$47,MATCH($A37,Ingredients!$A$6:$A$47,0))),"")</f>
        <v>loaf</v>
      </c>
      <c r="D37" s="69" t="n">
        <f aca="false">IFERROR(IF($A37="","",INDEX(Ingredients!$I$6:$I$47,MATCH($A37,Ingredients!$A$6:$A$47,0))),"")</f>
        <v>13.3333333333333</v>
      </c>
      <c r="E37" s="70" t="n">
        <f aca="false">IFERROR(IF(OR($A37="",$B37=""),"",$D37*$B37),"")</f>
        <v>2.4</v>
      </c>
    </row>
    <row r="38" customFormat="false" ht="15" hidden="false" customHeight="true" outlineLevel="0" collapsed="false">
      <c r="A38" s="59" t="s">
        <v>198</v>
      </c>
      <c r="B38" s="60" t="n">
        <v>90</v>
      </c>
      <c r="C38" s="68" t="str">
        <f aca="false">IFERROR(IF($A38="","",INDEX(Ingredients!$D$6:$D$47,MATCH($A38,Ingredients!$A$6:$A$47,0))),"")</f>
        <v>g</v>
      </c>
      <c r="D38" s="69" t="n">
        <f aca="false">IFERROR(IF($A38="","",INDEX(Ingredients!$I$6:$I$47,MATCH($A38,Ingredients!$A$6:$A$47,0))),"")</f>
        <v>0.0295454545454545</v>
      </c>
      <c r="E38" s="70" t="n">
        <f aca="false">IFERROR(IF(OR($A38="",$B38=""),"",$D38*$B38),"")</f>
        <v>2.65909090909091</v>
      </c>
    </row>
    <row r="39" customFormat="false" ht="15" hidden="false" customHeight="true" outlineLevel="0" collapsed="false">
      <c r="A39" s="59" t="s">
        <v>209</v>
      </c>
      <c r="B39" s="60" t="n">
        <v>0.5</v>
      </c>
      <c r="C39" s="68" t="str">
        <f aca="false">IFERROR(IF($A39="","",INDEX(Ingredients!$D$6:$D$47,MATCH($A39,Ingredients!$A$6:$A$47,0))),"")</f>
        <v>each</v>
      </c>
      <c r="D39" s="69" t="n">
        <f aca="false">IFERROR(IF($A39="","",INDEX(Ingredients!$I$6:$I$47,MATCH($A39,Ingredients!$A$6:$A$47,0))),"")</f>
        <v>9.28571428571429</v>
      </c>
      <c r="E39" s="70" t="n">
        <f aca="false">IFERROR(IF(OR($A39="",$B39=""),"",$D39*$B39),"")</f>
        <v>4.64285714285714</v>
      </c>
    </row>
    <row r="40" customFormat="false" ht="15" hidden="false" customHeight="true" outlineLevel="0" collapsed="false">
      <c r="A40" s="59" t="s">
        <v>213</v>
      </c>
      <c r="B40" s="60" t="n">
        <v>0.12</v>
      </c>
      <c r="C40" s="68" t="str">
        <f aca="false">IFERROR(IF($A40="","",INDEX(Ingredients!$D$6:$D$47,MATCH($A40,Ingredients!$A$6:$A$47,0))),"")</f>
        <v>each</v>
      </c>
      <c r="D40" s="69" t="n">
        <f aca="false">IFERROR(IF($A40="","",INDEX(Ingredients!$I$6:$I$47,MATCH($A40,Ingredients!$A$6:$A$47,0))),"")</f>
        <v>5.38461538461539</v>
      </c>
      <c r="E40" s="70" t="n">
        <f aca="false">IFERROR(IF(OR($A40="",$B40=""),"",$D40*$B40),"")</f>
        <v>0.646153846153846</v>
      </c>
    </row>
    <row r="41" customFormat="false" ht="15" hidden="false" customHeight="true" outlineLevel="0" collapsed="false">
      <c r="A41" s="59" t="s">
        <v>211</v>
      </c>
      <c r="B41" s="60" t="n">
        <v>35</v>
      </c>
      <c r="C41" s="68" t="str">
        <f aca="false">IFERROR(IF($A41="","",INDEX(Ingredients!$D$6:$D$47,MATCH($A41,Ingredients!$A$6:$A$47,0))),"")</f>
        <v>g</v>
      </c>
      <c r="D41" s="69" t="n">
        <f aca="false">IFERROR(IF($A41="","",INDEX(Ingredients!$I$6:$I$47,MATCH($A41,Ingredients!$A$6:$A$47,0))),"")</f>
        <v>0.00760869565217391</v>
      </c>
      <c r="E41" s="70" t="n">
        <f aca="false">IFERROR(IF(OR($A41="",$B41=""),"",$D41*$B41),"")</f>
        <v>0.266304347826087</v>
      </c>
    </row>
    <row r="42" customFormat="false" ht="15" hidden="false" customHeight="true" outlineLevel="0" collapsed="false">
      <c r="A42" s="59" t="s">
        <v>230</v>
      </c>
      <c r="B42" s="60" t="n">
        <v>15</v>
      </c>
      <c r="C42" s="68" t="str">
        <f aca="false">IFERROR(IF($A42="","",INDEX(Ingredients!$D$6:$D$47,MATCH($A42,Ingredients!$A$6:$A$47,0))),"")</f>
        <v/>
      </c>
      <c r="D42" s="69" t="str">
        <f aca="false">IFERROR(IF($A42="","",INDEX(Ingredients!$I$6:$I$47,MATCH($A42,Ingredients!$A$6:$A$47,0))),"")</f>
        <v/>
      </c>
      <c r="E42" s="70" t="str">
        <f aca="false">IFERROR(IF(OR($A42="",$B42=""),"",$D42*$B42),"")</f>
        <v/>
      </c>
    </row>
    <row r="43" customFormat="false" ht="15" hidden="false" customHeight="true" outlineLevel="0" collapsed="false">
      <c r="A43" s="59"/>
      <c r="B43" s="60"/>
      <c r="C43" s="68" t="str">
        <f aca="false">IFERROR(IF($A43="","",INDEX(Ingredients!$D$6:$D$47,MATCH($A43,Ingredients!$A$6:$A$47,0))),"")</f>
        <v/>
      </c>
      <c r="D43" s="69" t="str">
        <f aca="false">IFERROR(IF($A43="","",INDEX(Ingredients!$I$6:$I$47,MATCH($A43,Ingredients!$A$6:$A$47,0))),"")</f>
        <v/>
      </c>
      <c r="E43" s="70" t="str">
        <f aca="false">IFERROR(IF(OR($A43="",$B43=""),"",$D43*$B43),"")</f>
        <v/>
      </c>
    </row>
    <row r="44" customFormat="false" ht="15" hidden="false" customHeight="true" outlineLevel="0" collapsed="false">
      <c r="A44" s="59"/>
      <c r="B44" s="60"/>
      <c r="C44" s="68" t="str">
        <f aca="false">IFERROR(IF($A44="","",INDEX(Ingredients!$D$6:$D$47,MATCH($A44,Ingredients!$A$6:$A$47,0))),"")</f>
        <v/>
      </c>
      <c r="D44" s="69" t="str">
        <f aca="false">IFERROR(IF($A44="","",INDEX(Ingredients!$I$6:$I$47,MATCH($A44,Ingredients!$A$6:$A$47,0))),"")</f>
        <v/>
      </c>
      <c r="E44" s="70" t="str">
        <f aca="false">IFERROR(IF(OR($A44="",$B44=""),"",$D44*$B44),"")</f>
        <v/>
      </c>
    </row>
    <row r="45" customFormat="false" ht="15" hidden="false" customHeight="true" outlineLevel="0" collapsed="false">
      <c r="A45" s="59"/>
      <c r="B45" s="60"/>
      <c r="C45" s="68" t="str">
        <f aca="false">IFERROR(IF($A45="","",INDEX(Ingredients!$D$6:$D$47,MATCH($A45,Ingredients!$A$6:$A$47,0))),"")</f>
        <v/>
      </c>
      <c r="D45" s="69" t="str">
        <f aca="false">IFERROR(IF($A45="","",INDEX(Ingredients!$I$6:$I$47,MATCH($A45,Ingredients!$A$6:$A$47,0))),"")</f>
        <v/>
      </c>
      <c r="E45" s="70" t="str">
        <f aca="false">IFERROR(IF(OR($A45="",$B45=""),"",$D45*$B45),"")</f>
        <v/>
      </c>
    </row>
    <row r="46" customFormat="false" ht="15" hidden="false" customHeight="true" outlineLevel="0" collapsed="false">
      <c r="A46" s="59"/>
      <c r="B46" s="60"/>
      <c r="C46" s="68" t="str">
        <f aca="false">IFERROR(IF($A46="","",INDEX(Ingredients!$D$6:$D$47,MATCH($A46,Ingredients!$A$6:$A$47,0))),"")</f>
        <v/>
      </c>
      <c r="D46" s="69" t="str">
        <f aca="false">IFERROR(IF($A46="","",INDEX(Ingredients!$I$6:$I$47,MATCH($A46,Ingredients!$A$6:$A$47,0))),"")</f>
        <v/>
      </c>
      <c r="E46" s="70" t="str">
        <f aca="false">IFERROR(IF(OR($A46="",$B46=""),"",$D46*$B46),"")</f>
        <v/>
      </c>
    </row>
    <row r="47" customFormat="false" ht="15" hidden="false" customHeight="true" outlineLevel="0" collapsed="false">
      <c r="A47" s="59"/>
      <c r="B47" s="60"/>
      <c r="C47" s="68" t="str">
        <f aca="false">IFERROR(IF($A47="","",INDEX(Ingredients!$D$6:$D$47,MATCH($A47,Ingredients!$A$6:$A$47,0))),"")</f>
        <v/>
      </c>
      <c r="D47" s="69" t="str">
        <f aca="false">IFERROR(IF($A47="","",INDEX(Ingredients!$I$6:$I$47,MATCH($A47,Ingredients!$A$6:$A$47,0))),"")</f>
        <v/>
      </c>
      <c r="E47" s="70" t="str">
        <f aca="false">IFERROR(IF(OR($A47="",$B47=""),"",$D47*$B47),"")</f>
        <v/>
      </c>
    </row>
    <row r="48" customFormat="false" ht="15" hidden="false" customHeight="true" outlineLevel="0" collapsed="false">
      <c r="A48" s="59"/>
      <c r="B48" s="60"/>
      <c r="C48" s="68" t="str">
        <f aca="false">IFERROR(IF($A48="","",INDEX(Ingredients!$D$6:$D$47,MATCH($A48,Ingredients!$A$6:$A$47,0))),"")</f>
        <v/>
      </c>
      <c r="D48" s="69" t="str">
        <f aca="false">IFERROR(IF($A48="","",INDEX(Ingredients!$I$6:$I$47,MATCH($A48,Ingredients!$A$6:$A$47,0))),"")</f>
        <v/>
      </c>
      <c r="E48" s="70" t="str">
        <f aca="false">IFERROR(IF(OR($A48="",$B48=""),"",$D48*$B48),"")</f>
        <v/>
      </c>
    </row>
    <row r="49" customFormat="false" ht="15" hidden="false" customHeight="true" outlineLevel="0" collapsed="false">
      <c r="A49" s="59"/>
      <c r="B49" s="60"/>
      <c r="C49" s="68" t="str">
        <f aca="false">IFERROR(IF($A49="","",INDEX(Ingredients!$D$6:$D$47,MATCH($A49,Ingredients!$A$6:$A$47,0))),"")</f>
        <v/>
      </c>
      <c r="D49" s="69" t="str">
        <f aca="false">IFERROR(IF($A49="","",INDEX(Ingredients!$I$6:$I$47,MATCH($A49,Ingredients!$A$6:$A$47,0))),"")</f>
        <v/>
      </c>
      <c r="E49" s="70" t="str">
        <f aca="false">IFERROR(IF(OR($A49="",$B49=""),"",$D49*$B49),"")</f>
        <v/>
      </c>
    </row>
    <row r="50" customFormat="false" ht="15" hidden="false" customHeight="true" outlineLevel="0" collapsed="false">
      <c r="A50" s="59"/>
      <c r="B50" s="60"/>
      <c r="C50" s="68" t="str">
        <f aca="false">IFERROR(IF($A50="","",INDEX(Ingredients!$D$6:$D$47,MATCH($A50,Ingredients!$A$6:$A$47,0))),"")</f>
        <v/>
      </c>
      <c r="D50" s="69" t="str">
        <f aca="false">IFERROR(IF($A50="","",INDEX(Ingredients!$I$6:$I$47,MATCH($A50,Ingredients!$A$6:$A$47,0))),"")</f>
        <v/>
      </c>
      <c r="E50" s="70" t="str">
        <f aca="false">IFERROR(IF(OR($A50="",$B50=""),"",$D50*$B50),"")</f>
        <v/>
      </c>
    </row>
    <row r="51" customFormat="false" ht="15" hidden="false" customHeight="true" outlineLevel="0" collapsed="false">
      <c r="A51" s="71" t="s">
        <v>255</v>
      </c>
      <c r="B51" s="72"/>
      <c r="C51" s="72"/>
      <c r="D51" s="72"/>
      <c r="E51" s="73" t="n">
        <f aca="false">SUM($E$37:$E$50)</f>
        <v>10.614406245928</v>
      </c>
      <c r="F51" s="72"/>
      <c r="G51" s="72"/>
    </row>
    <row r="52" customFormat="false" ht="17.25" hidden="false" customHeight="true" outlineLevel="0" collapsed="false">
      <c r="A52" s="74" t="s">
        <v>256</v>
      </c>
      <c r="B52" s="75"/>
      <c r="C52" s="75"/>
      <c r="D52" s="75"/>
      <c r="E52" s="78" t="n">
        <f aca="false">IFERROR(IF($B$34=0,"",$E$51/$B$34),"")</f>
        <v>10.614406245928</v>
      </c>
      <c r="F52" s="75"/>
      <c r="G52" s="75"/>
    </row>
    <row r="54" customFormat="false" ht="15" hidden="false" customHeight="true" outlineLevel="0" collapsed="false">
      <c r="A54" s="79" t="s">
        <v>257</v>
      </c>
      <c r="B54" s="80"/>
      <c r="C54" s="80"/>
      <c r="D54" s="80"/>
      <c r="E54" s="81" t="n">
        <v>30</v>
      </c>
      <c r="F54" s="80"/>
      <c r="G54" s="82" t="s">
        <v>258</v>
      </c>
    </row>
    <row r="55" customFormat="false" ht="15" hidden="false" customHeight="true" outlineLevel="0" collapsed="false">
      <c r="A55" s="17" t="s">
        <v>259</v>
      </c>
      <c r="E55" s="83" t="n">
        <f aca="false">IFERROR($E$54/(1+Settings!$D$12),0)</f>
        <v>28.5714285714286</v>
      </c>
      <c r="G55" s="21" t="s">
        <v>260</v>
      </c>
    </row>
    <row r="56" customFormat="false" ht="15" hidden="false" customHeight="true" outlineLevel="0" collapsed="false">
      <c r="A56" s="17" t="s">
        <v>261</v>
      </c>
      <c r="E56" s="84" t="n">
        <f aca="false">IFERROR($E$52,0)</f>
        <v>10.614406245928</v>
      </c>
      <c r="F56" s="85" t="n">
        <f aca="false">IFERROR($E$56/$E$55,0)</f>
        <v>0.37150421860748</v>
      </c>
    </row>
    <row r="57" customFormat="false" ht="15.75" hidden="false" customHeight="true" outlineLevel="0" collapsed="false">
      <c r="A57" s="74" t="s">
        <v>262</v>
      </c>
      <c r="B57" s="75"/>
      <c r="C57" s="75"/>
      <c r="D57" s="75"/>
      <c r="E57" s="86" t="n">
        <f aca="false">IFERROR($E$55-$E$56,0)</f>
        <v>17.9570223255006</v>
      </c>
      <c r="F57" s="87" t="n">
        <f aca="false">IFERROR($E$57/$E$55,0)</f>
        <v>0.628495781392521</v>
      </c>
      <c r="G57" s="88" t="str">
        <f aca="false">IF($E$55=0,"",IF($F$57&gt;=IF($B$35="Coffee &amp; Tea",Settings!$B$19,IF($B$35="Juice &amp; Smoothie",Settings!$B$20,Settings!$B$18)),"On target  -  target "&amp;TEXT(IF($B$35="Coffee &amp; Tea",Settings!$B$19,IF($B$35="Juice &amp; Smoothie",Settings!$B$20,Settings!$B$18)),"0%"),"BELOW TARGET  -  target "&amp;TEXT(IF($B$35="Coffee &amp; Tea",Settings!$B$19,IF($B$35="Juice &amp; Smoothie",Settings!$B$20,Settings!$B$18)),"0%")))</f>
        <v>BELOW TARGET  -  target 65%</v>
      </c>
    </row>
    <row r="59" customFormat="false" ht="15" hidden="false" customHeight="true" outlineLevel="0" collapsed="false">
      <c r="A59" s="15" t="s">
        <v>265</v>
      </c>
      <c r="B59" s="8"/>
      <c r="C59" s="8"/>
      <c r="D59" s="8"/>
      <c r="E59" s="8"/>
      <c r="F59" s="8"/>
      <c r="G59" s="8"/>
    </row>
    <row r="60" customFormat="false" ht="15" hidden="false" customHeight="true" outlineLevel="0" collapsed="false">
      <c r="A60" s="19" t="s">
        <v>246</v>
      </c>
      <c r="B60" s="20" t="s">
        <v>266</v>
      </c>
      <c r="C60" s="20"/>
      <c r="D60" s="20"/>
    </row>
    <row r="61" customFormat="false" ht="15" hidden="false" customHeight="true" outlineLevel="0" collapsed="false">
      <c r="A61" s="17" t="s">
        <v>248</v>
      </c>
      <c r="B61" s="67" t="n">
        <v>1</v>
      </c>
      <c r="G61" s="21" t="s">
        <v>249</v>
      </c>
    </row>
    <row r="62" customFormat="false" ht="15" hidden="false" customHeight="true" outlineLevel="0" collapsed="false">
      <c r="A62" s="17" t="s">
        <v>136</v>
      </c>
      <c r="B62" s="18" t="s">
        <v>250</v>
      </c>
      <c r="G62" s="21" t="s">
        <v>251</v>
      </c>
    </row>
    <row r="63" customFormat="false" ht="19.5" hidden="false" customHeight="true" outlineLevel="0" collapsed="false">
      <c r="A63" s="33" t="s">
        <v>252</v>
      </c>
      <c r="B63" s="34" t="s">
        <v>227</v>
      </c>
      <c r="C63" s="34" t="s">
        <v>160</v>
      </c>
      <c r="D63" s="34" t="s">
        <v>228</v>
      </c>
      <c r="E63" s="34" t="s">
        <v>229</v>
      </c>
      <c r="F63" s="34"/>
      <c r="G63" s="34"/>
    </row>
    <row r="64" customFormat="false" ht="15" hidden="false" customHeight="true" outlineLevel="0" collapsed="false">
      <c r="A64" s="59" t="s">
        <v>169</v>
      </c>
      <c r="B64" s="60" t="n">
        <v>0.22</v>
      </c>
      <c r="C64" s="68" t="str">
        <f aca="false">IFERROR(IF($A64="","",INDEX(Ingredients!$D$6:$D$47,MATCH($A64,Ingredients!$A$6:$A$47,0))),"")</f>
        <v>loaf</v>
      </c>
      <c r="D64" s="69" t="n">
        <f aca="false">IFERROR(IF($A64="","",INDEX(Ingredients!$I$6:$I$47,MATCH($A64,Ingredients!$A$6:$A$47,0))),"")</f>
        <v>13.3333333333333</v>
      </c>
      <c r="E64" s="70" t="n">
        <f aca="false">IFERROR(IF(OR($A64="",$B64=""),"",$D64*$B64),"")</f>
        <v>2.93333333333333</v>
      </c>
    </row>
    <row r="65" customFormat="false" ht="15" hidden="false" customHeight="true" outlineLevel="0" collapsed="false">
      <c r="A65" s="59" t="s">
        <v>204</v>
      </c>
      <c r="B65" s="60" t="n">
        <v>80</v>
      </c>
      <c r="C65" s="68" t="str">
        <f aca="false">IFERROR(IF($A65="","",INDEX(Ingredients!$D$6:$D$47,MATCH($A65,Ingredients!$A$6:$A$47,0))),"")</f>
        <v>g</v>
      </c>
      <c r="D65" s="69" t="n">
        <f aca="false">IFERROR(IF($A65="","",INDEX(Ingredients!$I$6:$I$47,MATCH($A65,Ingredients!$A$6:$A$47,0))),"")</f>
        <v>0.064</v>
      </c>
      <c r="E65" s="70" t="n">
        <f aca="false">IFERROR(IF(OR($A65="",$B65=""),"",$D65*$B65),"")</f>
        <v>5.12</v>
      </c>
    </row>
    <row r="66" customFormat="false" ht="15" hidden="false" customHeight="true" outlineLevel="0" collapsed="false">
      <c r="A66" s="59" t="s">
        <v>205</v>
      </c>
      <c r="B66" s="60" t="n">
        <v>30</v>
      </c>
      <c r="C66" s="68" t="str">
        <f aca="false">IFERROR(IF($A66="","",INDEX(Ingredients!$D$6:$D$47,MATCH($A66,Ingredients!$A$6:$A$47,0))),"")</f>
        <v>g</v>
      </c>
      <c r="D66" s="69" t="n">
        <f aca="false">IFERROR(IF($A66="","",INDEX(Ingredients!$I$6:$I$47,MATCH($A66,Ingredients!$A$6:$A$47,0))),"")</f>
        <v>0.0565217391304348</v>
      </c>
      <c r="E66" s="70" t="n">
        <f aca="false">IFERROR(IF(OR($A66="",$B66=""),"",$D66*$B66),"")</f>
        <v>1.69565217391304</v>
      </c>
    </row>
    <row r="67" customFormat="false" ht="15" hidden="false" customHeight="true" outlineLevel="0" collapsed="false">
      <c r="A67" s="59" t="s">
        <v>185</v>
      </c>
      <c r="B67" s="60" t="n">
        <v>25</v>
      </c>
      <c r="C67" s="68" t="str">
        <f aca="false">IFERROR(IF($A67="","",INDEX(Ingredients!$D$6:$D$47,MATCH($A67,Ingredients!$A$6:$A$47,0))),"")</f>
        <v>g</v>
      </c>
      <c r="D67" s="69" t="n">
        <f aca="false">IFERROR(IF($A67="","",INDEX(Ingredients!$I$6:$I$47,MATCH($A67,Ingredients!$A$6:$A$47,0))),"")</f>
        <v>0.038</v>
      </c>
      <c r="E67" s="70" t="n">
        <f aca="false">IFERROR(IF(OR($A67="",$B67=""),"",$D67*$B67),"")</f>
        <v>0.95</v>
      </c>
    </row>
    <row r="68" customFormat="false" ht="15" hidden="false" customHeight="true" outlineLevel="0" collapsed="false">
      <c r="A68" s="59" t="s">
        <v>213</v>
      </c>
      <c r="B68" s="60" t="n">
        <v>0.12</v>
      </c>
      <c r="C68" s="68" t="str">
        <f aca="false">IFERROR(IF($A68="","",INDEX(Ingredients!$D$6:$D$47,MATCH($A68,Ingredients!$A$6:$A$47,0))),"")</f>
        <v>each</v>
      </c>
      <c r="D68" s="69" t="n">
        <f aca="false">IFERROR(IF($A68="","",INDEX(Ingredients!$I$6:$I$47,MATCH($A68,Ingredients!$A$6:$A$47,0))),"")</f>
        <v>5.38461538461539</v>
      </c>
      <c r="E68" s="70" t="n">
        <f aca="false">IFERROR(IF(OR($A68="",$B68=""),"",$D68*$B68),"")</f>
        <v>0.646153846153846</v>
      </c>
    </row>
    <row r="69" customFormat="false" ht="15" hidden="false" customHeight="true" outlineLevel="0" collapsed="false">
      <c r="A69" s="59" t="s">
        <v>211</v>
      </c>
      <c r="B69" s="60" t="n">
        <v>35</v>
      </c>
      <c r="C69" s="68" t="str">
        <f aca="false">IFERROR(IF($A69="","",INDEX(Ingredients!$D$6:$D$47,MATCH($A69,Ingredients!$A$6:$A$47,0))),"")</f>
        <v>g</v>
      </c>
      <c r="D69" s="69" t="n">
        <f aca="false">IFERROR(IF($A69="","",INDEX(Ingredients!$I$6:$I$47,MATCH($A69,Ingredients!$A$6:$A$47,0))),"")</f>
        <v>0.00760869565217391</v>
      </c>
      <c r="E69" s="70" t="n">
        <f aca="false">IFERROR(IF(OR($A69="",$B69=""),"",$D69*$B69),"")</f>
        <v>0.266304347826087</v>
      </c>
    </row>
    <row r="70" customFormat="false" ht="15" hidden="false" customHeight="true" outlineLevel="0" collapsed="false">
      <c r="A70" s="59" t="s">
        <v>230</v>
      </c>
      <c r="B70" s="60" t="n">
        <v>18</v>
      </c>
      <c r="C70" s="68" t="str">
        <f aca="false">IFERROR(IF($A70="","",INDEX(Ingredients!$D$6:$D$47,MATCH($A70,Ingredients!$A$6:$A$47,0))),"")</f>
        <v/>
      </c>
      <c r="D70" s="69" t="str">
        <f aca="false">IFERROR(IF($A70="","",INDEX(Ingredients!$I$6:$I$47,MATCH($A70,Ingredients!$A$6:$A$47,0))),"")</f>
        <v/>
      </c>
      <c r="E70" s="70" t="str">
        <f aca="false">IFERROR(IF(OR($A70="",$B70=""),"",$D70*$B70),"")</f>
        <v/>
      </c>
    </row>
    <row r="71" customFormat="false" ht="15" hidden="false" customHeight="true" outlineLevel="0" collapsed="false">
      <c r="A71" s="59"/>
      <c r="B71" s="60"/>
      <c r="C71" s="68" t="str">
        <f aca="false">IFERROR(IF($A71="","",INDEX(Ingredients!$D$6:$D$47,MATCH($A71,Ingredients!$A$6:$A$47,0))),"")</f>
        <v/>
      </c>
      <c r="D71" s="69" t="str">
        <f aca="false">IFERROR(IF($A71="","",INDEX(Ingredients!$I$6:$I$47,MATCH($A71,Ingredients!$A$6:$A$47,0))),"")</f>
        <v/>
      </c>
      <c r="E71" s="70" t="str">
        <f aca="false">IFERROR(IF(OR($A71="",$B71=""),"",$D71*$B71),"")</f>
        <v/>
      </c>
    </row>
    <row r="72" customFormat="false" ht="15" hidden="false" customHeight="true" outlineLevel="0" collapsed="false">
      <c r="A72" s="59"/>
      <c r="B72" s="60"/>
      <c r="C72" s="68" t="str">
        <f aca="false">IFERROR(IF($A72="","",INDEX(Ingredients!$D$6:$D$47,MATCH($A72,Ingredients!$A$6:$A$47,0))),"")</f>
        <v/>
      </c>
      <c r="D72" s="69" t="str">
        <f aca="false">IFERROR(IF($A72="","",INDEX(Ingredients!$I$6:$I$47,MATCH($A72,Ingredients!$A$6:$A$47,0))),"")</f>
        <v/>
      </c>
      <c r="E72" s="70" t="str">
        <f aca="false">IFERROR(IF(OR($A72="",$B72=""),"",$D72*$B72),"")</f>
        <v/>
      </c>
    </row>
    <row r="73" customFormat="false" ht="15" hidden="false" customHeight="true" outlineLevel="0" collapsed="false">
      <c r="A73" s="59"/>
      <c r="B73" s="60"/>
      <c r="C73" s="68" t="str">
        <f aca="false">IFERROR(IF($A73="","",INDEX(Ingredients!$D$6:$D$47,MATCH($A73,Ingredients!$A$6:$A$47,0))),"")</f>
        <v/>
      </c>
      <c r="D73" s="69" t="str">
        <f aca="false">IFERROR(IF($A73="","",INDEX(Ingredients!$I$6:$I$47,MATCH($A73,Ingredients!$A$6:$A$47,0))),"")</f>
        <v/>
      </c>
      <c r="E73" s="70" t="str">
        <f aca="false">IFERROR(IF(OR($A73="",$B73=""),"",$D73*$B73),"")</f>
        <v/>
      </c>
    </row>
    <row r="74" customFormat="false" ht="15" hidden="false" customHeight="true" outlineLevel="0" collapsed="false">
      <c r="A74" s="59"/>
      <c r="B74" s="60"/>
      <c r="C74" s="68" t="str">
        <f aca="false">IFERROR(IF($A74="","",INDEX(Ingredients!$D$6:$D$47,MATCH($A74,Ingredients!$A$6:$A$47,0))),"")</f>
        <v/>
      </c>
      <c r="D74" s="69" t="str">
        <f aca="false">IFERROR(IF($A74="","",INDEX(Ingredients!$I$6:$I$47,MATCH($A74,Ingredients!$A$6:$A$47,0))),"")</f>
        <v/>
      </c>
      <c r="E74" s="70" t="str">
        <f aca="false">IFERROR(IF(OR($A74="",$B74=""),"",$D74*$B74),"")</f>
        <v/>
      </c>
    </row>
    <row r="75" customFormat="false" ht="15" hidden="false" customHeight="true" outlineLevel="0" collapsed="false">
      <c r="A75" s="59"/>
      <c r="B75" s="60"/>
      <c r="C75" s="68" t="str">
        <f aca="false">IFERROR(IF($A75="","",INDEX(Ingredients!$D$6:$D$47,MATCH($A75,Ingredients!$A$6:$A$47,0))),"")</f>
        <v/>
      </c>
      <c r="D75" s="69" t="str">
        <f aca="false">IFERROR(IF($A75="","",INDEX(Ingredients!$I$6:$I$47,MATCH($A75,Ingredients!$A$6:$A$47,0))),"")</f>
        <v/>
      </c>
      <c r="E75" s="70" t="str">
        <f aca="false">IFERROR(IF(OR($A75="",$B75=""),"",$D75*$B75),"")</f>
        <v/>
      </c>
    </row>
    <row r="76" customFormat="false" ht="15" hidden="false" customHeight="true" outlineLevel="0" collapsed="false">
      <c r="A76" s="59"/>
      <c r="B76" s="60"/>
      <c r="C76" s="68" t="str">
        <f aca="false">IFERROR(IF($A76="","",INDEX(Ingredients!$D$6:$D$47,MATCH($A76,Ingredients!$A$6:$A$47,0))),"")</f>
        <v/>
      </c>
      <c r="D76" s="69" t="str">
        <f aca="false">IFERROR(IF($A76="","",INDEX(Ingredients!$I$6:$I$47,MATCH($A76,Ingredients!$A$6:$A$47,0))),"")</f>
        <v/>
      </c>
      <c r="E76" s="70" t="str">
        <f aca="false">IFERROR(IF(OR($A76="",$B76=""),"",$D76*$B76),"")</f>
        <v/>
      </c>
    </row>
    <row r="77" customFormat="false" ht="15" hidden="false" customHeight="true" outlineLevel="0" collapsed="false">
      <c r="A77" s="59"/>
      <c r="B77" s="60"/>
      <c r="C77" s="68" t="str">
        <f aca="false">IFERROR(IF($A77="","",INDEX(Ingredients!$D$6:$D$47,MATCH($A77,Ingredients!$A$6:$A$47,0))),"")</f>
        <v/>
      </c>
      <c r="D77" s="69" t="str">
        <f aca="false">IFERROR(IF($A77="","",INDEX(Ingredients!$I$6:$I$47,MATCH($A77,Ingredients!$A$6:$A$47,0))),"")</f>
        <v/>
      </c>
      <c r="E77" s="70" t="str">
        <f aca="false">IFERROR(IF(OR($A77="",$B77=""),"",$D77*$B77),"")</f>
        <v/>
      </c>
    </row>
    <row r="78" customFormat="false" ht="15" hidden="false" customHeight="true" outlineLevel="0" collapsed="false">
      <c r="A78" s="71" t="s">
        <v>255</v>
      </c>
      <c r="B78" s="72"/>
      <c r="C78" s="72"/>
      <c r="D78" s="72"/>
      <c r="E78" s="73" t="n">
        <f aca="false">SUM($E$64:$E$77)</f>
        <v>11.6114437012263</v>
      </c>
      <c r="F78" s="72"/>
      <c r="G78" s="72"/>
    </row>
    <row r="79" customFormat="false" ht="17.25" hidden="false" customHeight="true" outlineLevel="0" collapsed="false">
      <c r="A79" s="74" t="s">
        <v>256</v>
      </c>
      <c r="B79" s="75"/>
      <c r="C79" s="75"/>
      <c r="D79" s="75"/>
      <c r="E79" s="78" t="n">
        <f aca="false">IFERROR(IF($B$61=0,"",$E$78/$B$61),"")</f>
        <v>11.6114437012263</v>
      </c>
      <c r="F79" s="75"/>
      <c r="G79" s="75"/>
    </row>
    <row r="81" customFormat="false" ht="15" hidden="false" customHeight="true" outlineLevel="0" collapsed="false">
      <c r="A81" s="79" t="s">
        <v>257</v>
      </c>
      <c r="B81" s="80"/>
      <c r="C81" s="80"/>
      <c r="D81" s="80"/>
      <c r="E81" s="81" t="n">
        <v>34</v>
      </c>
      <c r="F81" s="80"/>
      <c r="G81" s="82" t="s">
        <v>258</v>
      </c>
    </row>
    <row r="82" customFormat="false" ht="15" hidden="false" customHeight="true" outlineLevel="0" collapsed="false">
      <c r="A82" s="17" t="s">
        <v>259</v>
      </c>
      <c r="E82" s="83" t="n">
        <f aca="false">IFERROR($E$81/(1+Settings!$D$12),0)</f>
        <v>32.3809523809524</v>
      </c>
      <c r="G82" s="21" t="s">
        <v>260</v>
      </c>
    </row>
    <row r="83" customFormat="false" ht="15" hidden="false" customHeight="true" outlineLevel="0" collapsed="false">
      <c r="A83" s="17" t="s">
        <v>261</v>
      </c>
      <c r="E83" s="84" t="n">
        <f aca="false">IFERROR($E$79,0)</f>
        <v>11.6114437012263</v>
      </c>
      <c r="F83" s="85" t="n">
        <f aca="false">IFERROR($E$83/$E$82,0)</f>
        <v>0.358588702537871</v>
      </c>
    </row>
    <row r="84" customFormat="false" ht="15.75" hidden="false" customHeight="true" outlineLevel="0" collapsed="false">
      <c r="A84" s="74" t="s">
        <v>262</v>
      </c>
      <c r="B84" s="75"/>
      <c r="C84" s="75"/>
      <c r="D84" s="75"/>
      <c r="E84" s="86" t="n">
        <f aca="false">IFERROR($E$82-$E$83,0)</f>
        <v>20.7695086797261</v>
      </c>
      <c r="F84" s="87" t="n">
        <f aca="false">IFERROR($E$84/$E$82,0)</f>
        <v>0.641411297462129</v>
      </c>
      <c r="G84" s="88" t="str">
        <f aca="false">IF($E$82=0,"",IF($F$84&gt;=IF($B$62="Coffee &amp; Tea",Settings!$B$19,IF($B$62="Juice &amp; Smoothie",Settings!$B$20,Settings!$B$18)),"On target  -  target "&amp;TEXT(IF($B$62="Coffee &amp; Tea",Settings!$B$19,IF($B$62="Juice &amp; Smoothie",Settings!$B$20,Settings!$B$18)),"0%"),"BELOW TARGET  -  target "&amp;TEXT(IF($B$62="Coffee &amp; Tea",Settings!$B$19,IF($B$62="Juice &amp; Smoothie",Settings!$B$20,Settings!$B$18)),"0%")))</f>
        <v>BELOW TARGET  -  target 65%</v>
      </c>
    </row>
    <row r="86" customFormat="false" ht="15" hidden="false" customHeight="true" outlineLevel="0" collapsed="false">
      <c r="A86" s="15" t="s">
        <v>267</v>
      </c>
      <c r="B86" s="8"/>
      <c r="C86" s="8"/>
      <c r="D86" s="8"/>
      <c r="E86" s="8"/>
      <c r="F86" s="8"/>
      <c r="G86" s="8"/>
    </row>
    <row r="87" customFormat="false" ht="15" hidden="false" customHeight="true" outlineLevel="0" collapsed="false">
      <c r="A87" s="19" t="s">
        <v>246</v>
      </c>
      <c r="B87" s="20" t="s">
        <v>268</v>
      </c>
      <c r="C87" s="20"/>
      <c r="D87" s="20"/>
    </row>
    <row r="88" customFormat="false" ht="15" hidden="false" customHeight="true" outlineLevel="0" collapsed="false">
      <c r="A88" s="17" t="s">
        <v>248</v>
      </c>
      <c r="B88" s="67" t="n">
        <v>1</v>
      </c>
      <c r="G88" s="21" t="s">
        <v>249</v>
      </c>
    </row>
    <row r="89" customFormat="false" ht="15" hidden="false" customHeight="true" outlineLevel="0" collapsed="false">
      <c r="A89" s="17" t="s">
        <v>136</v>
      </c>
      <c r="B89" s="18" t="s">
        <v>250</v>
      </c>
      <c r="G89" s="21" t="s">
        <v>251</v>
      </c>
    </row>
    <row r="90" customFormat="false" ht="19.5" hidden="false" customHeight="true" outlineLevel="0" collapsed="false">
      <c r="A90" s="33" t="s">
        <v>252</v>
      </c>
      <c r="B90" s="34" t="s">
        <v>227</v>
      </c>
      <c r="C90" s="34" t="s">
        <v>160</v>
      </c>
      <c r="D90" s="34" t="s">
        <v>228</v>
      </c>
      <c r="E90" s="34" t="s">
        <v>229</v>
      </c>
      <c r="F90" s="34"/>
      <c r="G90" s="34"/>
    </row>
    <row r="91" customFormat="false" ht="15" hidden="false" customHeight="true" outlineLevel="0" collapsed="false">
      <c r="A91" s="59" t="s">
        <v>174</v>
      </c>
      <c r="B91" s="60" t="n">
        <v>1</v>
      </c>
      <c r="C91" s="68" t="str">
        <f aca="false">IFERROR(IF($A91="","",INDEX(Ingredients!$D$6:$D$47,MATCH($A91,Ingredients!$A$6:$A$47,0))),"")</f>
        <v>each</v>
      </c>
      <c r="D91" s="69" t="n">
        <f aca="false">IFERROR(IF($A91="","",INDEX(Ingredients!$I$6:$I$47,MATCH($A91,Ingredients!$A$6:$A$47,0))),"")</f>
        <v>3.1</v>
      </c>
      <c r="E91" s="70" t="n">
        <f aca="false">IFERROR(IF(OR($A91="",$B91=""),"",$D91*$B91),"")</f>
        <v>3.1</v>
      </c>
    </row>
    <row r="92" customFormat="false" ht="15" hidden="false" customHeight="true" outlineLevel="0" collapsed="false">
      <c r="A92" s="59" t="s">
        <v>189</v>
      </c>
      <c r="B92" s="60" t="n">
        <v>55</v>
      </c>
      <c r="C92" s="68" t="str">
        <f aca="false">IFERROR(IF($A92="","",INDEX(Ingredients!$D$6:$D$47,MATCH($A92,Ingredients!$A$6:$A$47,0))),"")</f>
        <v>g</v>
      </c>
      <c r="D92" s="69" t="n">
        <f aca="false">IFERROR(IF($A92="","",INDEX(Ingredients!$I$6:$I$47,MATCH($A92,Ingredients!$A$6:$A$47,0))),"")</f>
        <v>0.022</v>
      </c>
      <c r="E92" s="70" t="n">
        <f aca="false">IFERROR(IF(OR($A92="",$B92=""),"",$D92*$B92),"")</f>
        <v>1.21</v>
      </c>
    </row>
    <row r="93" customFormat="false" ht="15" hidden="false" customHeight="true" outlineLevel="0" collapsed="false">
      <c r="A93" s="59" t="s">
        <v>216</v>
      </c>
      <c r="B93" s="60" t="n">
        <v>40</v>
      </c>
      <c r="C93" s="68" t="str">
        <f aca="false">IFERROR(IF($A93="","",INDEX(Ingredients!$D$6:$D$47,MATCH($A93,Ingredients!$A$6:$A$47,0))),"")</f>
        <v>g</v>
      </c>
      <c r="D93" s="69" t="n">
        <f aca="false">IFERROR(IF($A93="","",INDEX(Ingredients!$I$6:$I$47,MATCH($A93,Ingredients!$A$6:$A$47,0))),"")</f>
        <v>0.00631578947368421</v>
      </c>
      <c r="E93" s="70" t="n">
        <f aca="false">IFERROR(IF(OR($A93="",$B93=""),"",$D93*$B93),"")</f>
        <v>0.252631578947368</v>
      </c>
    </row>
    <row r="94" customFormat="false" ht="15" hidden="false" customHeight="true" outlineLevel="0" collapsed="false">
      <c r="A94" s="59" t="s">
        <v>253</v>
      </c>
      <c r="B94" s="60" t="n">
        <v>4</v>
      </c>
      <c r="C94" s="68" t="str">
        <f aca="false">IFERROR(IF($A94="","",INDEX(Ingredients!$D$6:$D$47,MATCH($A94,Ingredients!$A$6:$A$47,0))),"")</f>
        <v/>
      </c>
      <c r="D94" s="69" t="str">
        <f aca="false">IFERROR(IF($A94="","",INDEX(Ingredients!$I$6:$I$47,MATCH($A94,Ingredients!$A$6:$A$47,0))),"")</f>
        <v/>
      </c>
      <c r="E94" s="70" t="str">
        <f aca="false">IFERROR(IF(OR($A94="",$B94=""),"",$D94*$B94),"")</f>
        <v/>
      </c>
    </row>
    <row r="95" customFormat="false" ht="15" hidden="false" customHeight="true" outlineLevel="0" collapsed="false">
      <c r="A95" s="59" t="s">
        <v>254</v>
      </c>
      <c r="B95" s="60" t="n">
        <v>5</v>
      </c>
      <c r="C95" s="68" t="str">
        <f aca="false">IFERROR(IF($A95="","",INDEX(Ingredients!$D$6:$D$47,MATCH($A95,Ingredients!$A$6:$A$47,0))),"")</f>
        <v/>
      </c>
      <c r="D95" s="69" t="str">
        <f aca="false">IFERROR(IF($A95="","",INDEX(Ingredients!$I$6:$I$47,MATCH($A95,Ingredients!$A$6:$A$47,0))),"")</f>
        <v/>
      </c>
      <c r="E95" s="70" t="str">
        <f aca="false">IFERROR(IF(OR($A95="",$B95=""),"",$D95*$B95),"")</f>
        <v/>
      </c>
    </row>
    <row r="96" customFormat="false" ht="15" hidden="false" customHeight="true" outlineLevel="0" collapsed="false">
      <c r="A96" s="59"/>
      <c r="B96" s="60"/>
      <c r="C96" s="68" t="str">
        <f aca="false">IFERROR(IF($A96="","",INDEX(Ingredients!$D$6:$D$47,MATCH($A96,Ingredients!$A$6:$A$47,0))),"")</f>
        <v/>
      </c>
      <c r="D96" s="69" t="str">
        <f aca="false">IFERROR(IF($A96="","",INDEX(Ingredients!$I$6:$I$47,MATCH($A96,Ingredients!$A$6:$A$47,0))),"")</f>
        <v/>
      </c>
      <c r="E96" s="70" t="str">
        <f aca="false">IFERROR(IF(OR($A96="",$B96=""),"",$D96*$B96),"")</f>
        <v/>
      </c>
    </row>
    <row r="97" customFormat="false" ht="15" hidden="false" customHeight="true" outlineLevel="0" collapsed="false">
      <c r="A97" s="59"/>
      <c r="B97" s="60"/>
      <c r="C97" s="68" t="str">
        <f aca="false">IFERROR(IF($A97="","",INDEX(Ingredients!$D$6:$D$47,MATCH($A97,Ingredients!$A$6:$A$47,0))),"")</f>
        <v/>
      </c>
      <c r="D97" s="69" t="str">
        <f aca="false">IFERROR(IF($A97="","",INDEX(Ingredients!$I$6:$I$47,MATCH($A97,Ingredients!$A$6:$A$47,0))),"")</f>
        <v/>
      </c>
      <c r="E97" s="70" t="str">
        <f aca="false">IFERROR(IF(OR($A97="",$B97=""),"",$D97*$B97),"")</f>
        <v/>
      </c>
    </row>
    <row r="98" customFormat="false" ht="15" hidden="false" customHeight="true" outlineLevel="0" collapsed="false">
      <c r="A98" s="59"/>
      <c r="B98" s="60"/>
      <c r="C98" s="68" t="str">
        <f aca="false">IFERROR(IF($A98="","",INDEX(Ingredients!$D$6:$D$47,MATCH($A98,Ingredients!$A$6:$A$47,0))),"")</f>
        <v/>
      </c>
      <c r="D98" s="69" t="str">
        <f aca="false">IFERROR(IF($A98="","",INDEX(Ingredients!$I$6:$I$47,MATCH($A98,Ingredients!$A$6:$A$47,0))),"")</f>
        <v/>
      </c>
      <c r="E98" s="70" t="str">
        <f aca="false">IFERROR(IF(OR($A98="",$B98=""),"",$D98*$B98),"")</f>
        <v/>
      </c>
    </row>
    <row r="99" customFormat="false" ht="15" hidden="false" customHeight="true" outlineLevel="0" collapsed="false">
      <c r="A99" s="59"/>
      <c r="B99" s="60"/>
      <c r="C99" s="68" t="str">
        <f aca="false">IFERROR(IF($A99="","",INDEX(Ingredients!$D$6:$D$47,MATCH($A99,Ingredients!$A$6:$A$47,0))),"")</f>
        <v/>
      </c>
      <c r="D99" s="69" t="str">
        <f aca="false">IFERROR(IF($A99="","",INDEX(Ingredients!$I$6:$I$47,MATCH($A99,Ingredients!$A$6:$A$47,0))),"")</f>
        <v/>
      </c>
      <c r="E99" s="70" t="str">
        <f aca="false">IFERROR(IF(OR($A99="",$B99=""),"",$D99*$B99),"")</f>
        <v/>
      </c>
    </row>
    <row r="100" customFormat="false" ht="15" hidden="false" customHeight="true" outlineLevel="0" collapsed="false">
      <c r="A100" s="59"/>
      <c r="B100" s="60"/>
      <c r="C100" s="68" t="str">
        <f aca="false">IFERROR(IF($A100="","",INDEX(Ingredients!$D$6:$D$47,MATCH($A100,Ingredients!$A$6:$A$47,0))),"")</f>
        <v/>
      </c>
      <c r="D100" s="69" t="str">
        <f aca="false">IFERROR(IF($A100="","",INDEX(Ingredients!$I$6:$I$47,MATCH($A100,Ingredients!$A$6:$A$47,0))),"")</f>
        <v/>
      </c>
      <c r="E100" s="70" t="str">
        <f aca="false">IFERROR(IF(OR($A100="",$B100=""),"",$D100*$B100),"")</f>
        <v/>
      </c>
    </row>
    <row r="101" customFormat="false" ht="15" hidden="false" customHeight="true" outlineLevel="0" collapsed="false">
      <c r="A101" s="59"/>
      <c r="B101" s="60"/>
      <c r="C101" s="68" t="str">
        <f aca="false">IFERROR(IF($A101="","",INDEX(Ingredients!$D$6:$D$47,MATCH($A101,Ingredients!$A$6:$A$47,0))),"")</f>
        <v/>
      </c>
      <c r="D101" s="69" t="str">
        <f aca="false">IFERROR(IF($A101="","",INDEX(Ingredients!$I$6:$I$47,MATCH($A101,Ingredients!$A$6:$A$47,0))),"")</f>
        <v/>
      </c>
      <c r="E101" s="70" t="str">
        <f aca="false">IFERROR(IF(OR($A101="",$B101=""),"",$D101*$B101),"")</f>
        <v/>
      </c>
    </row>
    <row r="102" customFormat="false" ht="15" hidden="false" customHeight="true" outlineLevel="0" collapsed="false">
      <c r="A102" s="59"/>
      <c r="B102" s="60"/>
      <c r="C102" s="68" t="str">
        <f aca="false">IFERROR(IF($A102="","",INDEX(Ingredients!$D$6:$D$47,MATCH($A102,Ingredients!$A$6:$A$47,0))),"")</f>
        <v/>
      </c>
      <c r="D102" s="69" t="str">
        <f aca="false">IFERROR(IF($A102="","",INDEX(Ingredients!$I$6:$I$47,MATCH($A102,Ingredients!$A$6:$A$47,0))),"")</f>
        <v/>
      </c>
      <c r="E102" s="70" t="str">
        <f aca="false">IFERROR(IF(OR($A102="",$B102=""),"",$D102*$B102),"")</f>
        <v/>
      </c>
    </row>
    <row r="103" customFormat="false" ht="15" hidden="false" customHeight="true" outlineLevel="0" collapsed="false">
      <c r="A103" s="59"/>
      <c r="B103" s="60"/>
      <c r="C103" s="68" t="str">
        <f aca="false">IFERROR(IF($A103="","",INDEX(Ingredients!$D$6:$D$47,MATCH($A103,Ingredients!$A$6:$A$47,0))),"")</f>
        <v/>
      </c>
      <c r="D103" s="69" t="str">
        <f aca="false">IFERROR(IF($A103="","",INDEX(Ingredients!$I$6:$I$47,MATCH($A103,Ingredients!$A$6:$A$47,0))),"")</f>
        <v/>
      </c>
      <c r="E103" s="70" t="str">
        <f aca="false">IFERROR(IF(OR($A103="",$B103=""),"",$D103*$B103),"")</f>
        <v/>
      </c>
    </row>
    <row r="104" customFormat="false" ht="15" hidden="false" customHeight="true" outlineLevel="0" collapsed="false">
      <c r="A104" s="59"/>
      <c r="B104" s="60"/>
      <c r="C104" s="68" t="str">
        <f aca="false">IFERROR(IF($A104="","",INDEX(Ingredients!$D$6:$D$47,MATCH($A104,Ingredients!$A$6:$A$47,0))),"")</f>
        <v/>
      </c>
      <c r="D104" s="69" t="str">
        <f aca="false">IFERROR(IF($A104="","",INDEX(Ingredients!$I$6:$I$47,MATCH($A104,Ingredients!$A$6:$A$47,0))),"")</f>
        <v/>
      </c>
      <c r="E104" s="70" t="str">
        <f aca="false">IFERROR(IF(OR($A104="",$B104=""),"",$D104*$B104),"")</f>
        <v/>
      </c>
    </row>
    <row r="105" customFormat="false" ht="15" hidden="false" customHeight="true" outlineLevel="0" collapsed="false">
      <c r="A105" s="71" t="s">
        <v>255</v>
      </c>
      <c r="B105" s="72"/>
      <c r="C105" s="72"/>
      <c r="D105" s="72"/>
      <c r="E105" s="73" t="n">
        <f aca="false">SUM($E$91:$E$104)</f>
        <v>4.56263157894737</v>
      </c>
      <c r="F105" s="72"/>
      <c r="G105" s="72"/>
    </row>
    <row r="106" customFormat="false" ht="17.25" hidden="false" customHeight="true" outlineLevel="0" collapsed="false">
      <c r="A106" s="74" t="s">
        <v>256</v>
      </c>
      <c r="B106" s="75"/>
      <c r="C106" s="75"/>
      <c r="D106" s="75"/>
      <c r="E106" s="78" t="n">
        <f aca="false">IFERROR(IF($B$88=0,"",$E$105/$B$88),"")</f>
        <v>4.56263157894737</v>
      </c>
      <c r="F106" s="75"/>
      <c r="G106" s="75"/>
    </row>
    <row r="108" customFormat="false" ht="15" hidden="false" customHeight="true" outlineLevel="0" collapsed="false">
      <c r="A108" s="79" t="s">
        <v>257</v>
      </c>
      <c r="B108" s="80"/>
      <c r="C108" s="80"/>
      <c r="D108" s="80"/>
      <c r="E108" s="81" t="n">
        <v>22</v>
      </c>
      <c r="F108" s="80"/>
      <c r="G108" s="82" t="s">
        <v>258</v>
      </c>
    </row>
    <row r="109" customFormat="false" ht="15" hidden="false" customHeight="true" outlineLevel="0" collapsed="false">
      <c r="A109" s="17" t="s">
        <v>259</v>
      </c>
      <c r="E109" s="83" t="n">
        <f aca="false">IFERROR($E$108/(1+Settings!$D$12),0)</f>
        <v>20.952380952381</v>
      </c>
      <c r="G109" s="21" t="s">
        <v>260</v>
      </c>
    </row>
    <row r="110" customFormat="false" ht="15" hidden="false" customHeight="true" outlineLevel="0" collapsed="false">
      <c r="A110" s="17" t="s">
        <v>261</v>
      </c>
      <c r="E110" s="84" t="n">
        <f aca="false">IFERROR($E$106,0)</f>
        <v>4.56263157894737</v>
      </c>
      <c r="F110" s="85" t="n">
        <f aca="false">IFERROR($E$110/$E$109,0)</f>
        <v>0.217761961722488</v>
      </c>
    </row>
    <row r="111" customFormat="false" ht="15.75" hidden="false" customHeight="true" outlineLevel="0" collapsed="false">
      <c r="A111" s="74" t="s">
        <v>262</v>
      </c>
      <c r="B111" s="75"/>
      <c r="C111" s="75"/>
      <c r="D111" s="75"/>
      <c r="E111" s="86" t="n">
        <f aca="false">IFERROR($E$109-$E$110,0)</f>
        <v>16.3897493734336</v>
      </c>
      <c r="F111" s="87" t="n">
        <f aca="false">IFERROR($E$111/$E$109,0)</f>
        <v>0.782238038277512</v>
      </c>
      <c r="G111" s="88" t="str">
        <f aca="false">IF($E$109=0,"",IF($F$111&gt;=IF($B$89="Coffee &amp; Tea",Settings!$B$19,IF($B$89="Juice &amp; Smoothie",Settings!$B$20,Settings!$B$18)),"On target  -  target "&amp;TEXT(IF($B$89="Coffee &amp; Tea",Settings!$B$19,IF($B$89="Juice &amp; Smoothie",Settings!$B$20,Settings!$B$18)),"0%"),"BELOW TARGET  -  target "&amp;TEXT(IF($B$89="Coffee &amp; Tea",Settings!$B$19,IF($B$89="Juice &amp; Smoothie",Settings!$B$20,Settings!$B$18)),"0%")))</f>
        <v>On target  -  target 65%</v>
      </c>
    </row>
    <row r="113" customFormat="false" ht="15" hidden="false" customHeight="true" outlineLevel="0" collapsed="false">
      <c r="A113" s="15" t="s">
        <v>269</v>
      </c>
      <c r="B113" s="8"/>
      <c r="C113" s="8"/>
      <c r="D113" s="8"/>
      <c r="E113" s="8"/>
      <c r="F113" s="8"/>
      <c r="G113" s="8"/>
    </row>
    <row r="114" customFormat="false" ht="15" hidden="false" customHeight="true" outlineLevel="0" collapsed="false">
      <c r="A114" s="19" t="s">
        <v>246</v>
      </c>
      <c r="B114" s="20" t="s">
        <v>270</v>
      </c>
      <c r="C114" s="20"/>
      <c r="D114" s="20"/>
    </row>
    <row r="115" customFormat="false" ht="15" hidden="false" customHeight="true" outlineLevel="0" collapsed="false">
      <c r="A115" s="17" t="s">
        <v>248</v>
      </c>
      <c r="B115" s="67" t="n">
        <v>1</v>
      </c>
      <c r="G115" s="21" t="s">
        <v>249</v>
      </c>
    </row>
    <row r="116" customFormat="false" ht="15" hidden="false" customHeight="true" outlineLevel="0" collapsed="false">
      <c r="A116" s="17" t="s">
        <v>136</v>
      </c>
      <c r="B116" s="18" t="s">
        <v>250</v>
      </c>
      <c r="G116" s="21" t="s">
        <v>251</v>
      </c>
    </row>
    <row r="117" customFormat="false" ht="19.5" hidden="false" customHeight="true" outlineLevel="0" collapsed="false">
      <c r="A117" s="33" t="s">
        <v>252</v>
      </c>
      <c r="B117" s="34" t="s">
        <v>227</v>
      </c>
      <c r="C117" s="34" t="s">
        <v>160</v>
      </c>
      <c r="D117" s="34" t="s">
        <v>228</v>
      </c>
      <c r="E117" s="34" t="s">
        <v>229</v>
      </c>
      <c r="F117" s="34"/>
      <c r="G117" s="34"/>
    </row>
    <row r="118" customFormat="false" ht="15" hidden="false" customHeight="true" outlineLevel="0" collapsed="false">
      <c r="A118" s="59" t="s">
        <v>169</v>
      </c>
      <c r="B118" s="60" t="n">
        <v>0.18</v>
      </c>
      <c r="C118" s="68" t="str">
        <f aca="false">IFERROR(IF($A118="","",INDEX(Ingredients!$D$6:$D$47,MATCH($A118,Ingredients!$A$6:$A$47,0))),"")</f>
        <v>loaf</v>
      </c>
      <c r="D118" s="69" t="n">
        <f aca="false">IFERROR(IF($A118="","",INDEX(Ingredients!$I$6:$I$47,MATCH($A118,Ingredients!$A$6:$A$47,0))),"")</f>
        <v>13.3333333333333</v>
      </c>
      <c r="E118" s="70" t="n">
        <f aca="false">IFERROR(IF(OR($A118="",$B118=""),"",$D118*$B118),"")</f>
        <v>2.4</v>
      </c>
    </row>
    <row r="119" customFormat="false" ht="15" hidden="false" customHeight="true" outlineLevel="0" collapsed="false">
      <c r="A119" s="59" t="s">
        <v>206</v>
      </c>
      <c r="B119" s="60" t="n">
        <v>120</v>
      </c>
      <c r="C119" s="68" t="str">
        <f aca="false">IFERROR(IF($A119="","",INDEX(Ingredients!$D$6:$D$47,MATCH($A119,Ingredients!$A$6:$A$47,0))),"")</f>
        <v>g</v>
      </c>
      <c r="D119" s="69" t="n">
        <f aca="false">IFERROR(IF($A119="","",INDEX(Ingredients!$I$6:$I$47,MATCH($A119,Ingredients!$A$6:$A$47,0))),"")</f>
        <v>0.0563063063063063</v>
      </c>
      <c r="E119" s="70" t="n">
        <f aca="false">IFERROR(IF(OR($A119="",$B119=""),"",$D119*$B119),"")</f>
        <v>6.75675675675676</v>
      </c>
    </row>
    <row r="120" customFormat="false" ht="15" hidden="false" customHeight="true" outlineLevel="0" collapsed="false">
      <c r="A120" s="59" t="s">
        <v>185</v>
      </c>
      <c r="B120" s="60" t="n">
        <v>35</v>
      </c>
      <c r="C120" s="68" t="str">
        <f aca="false">IFERROR(IF($A120="","",INDEX(Ingredients!$D$6:$D$47,MATCH($A120,Ingredients!$A$6:$A$47,0))),"")</f>
        <v>g</v>
      </c>
      <c r="D120" s="69" t="n">
        <f aca="false">IFERROR(IF($A120="","",INDEX(Ingredients!$I$6:$I$47,MATCH($A120,Ingredients!$A$6:$A$47,0))),"")</f>
        <v>0.038</v>
      </c>
      <c r="E120" s="70" t="n">
        <f aca="false">IFERROR(IF(OR($A120="",$B120=""),"",$D120*$B120),"")</f>
        <v>1.33</v>
      </c>
    </row>
    <row r="121" customFormat="false" ht="15" hidden="false" customHeight="true" outlineLevel="0" collapsed="false">
      <c r="A121" s="59" t="s">
        <v>230</v>
      </c>
      <c r="B121" s="60" t="n">
        <v>25</v>
      </c>
      <c r="C121" s="68" t="str">
        <f aca="false">IFERROR(IF($A121="","",INDEX(Ingredients!$D$6:$D$47,MATCH($A121,Ingredients!$A$6:$A$47,0))),"")</f>
        <v/>
      </c>
      <c r="D121" s="69" t="str">
        <f aca="false">IFERROR(IF($A121="","",INDEX(Ingredients!$I$6:$I$47,MATCH($A121,Ingredients!$A$6:$A$47,0))),"")</f>
        <v/>
      </c>
      <c r="E121" s="70" t="str">
        <f aca="false">IFERROR(IF(OR($A121="",$B121=""),"",$D121*$B121),"")</f>
        <v/>
      </c>
    </row>
    <row r="122" customFormat="false" ht="15" hidden="false" customHeight="true" outlineLevel="0" collapsed="false">
      <c r="A122" s="59" t="s">
        <v>217</v>
      </c>
      <c r="B122" s="60" t="n">
        <v>20</v>
      </c>
      <c r="C122" s="68" t="str">
        <f aca="false">IFERROR(IF($A122="","",INDEX(Ingredients!$D$6:$D$47,MATCH($A122,Ingredients!$A$6:$A$47,0))),"")</f>
        <v>g</v>
      </c>
      <c r="D122" s="69" t="n">
        <f aca="false">IFERROR(IF($A122="","",INDEX(Ingredients!$I$6:$I$47,MATCH($A122,Ingredients!$A$6:$A$47,0))),"")</f>
        <v>0.00625</v>
      </c>
      <c r="E122" s="70" t="n">
        <f aca="false">IFERROR(IF(OR($A122="",$B122=""),"",$D122*$B122),"")</f>
        <v>0.125</v>
      </c>
    </row>
    <row r="123" customFormat="false" ht="15" hidden="false" customHeight="true" outlineLevel="0" collapsed="false">
      <c r="A123" s="59" t="s">
        <v>192</v>
      </c>
      <c r="B123" s="60" t="n">
        <v>10</v>
      </c>
      <c r="C123" s="68" t="str">
        <f aca="false">IFERROR(IF($A123="","",INDEX(Ingredients!$D$6:$D$47,MATCH($A123,Ingredients!$A$6:$A$47,0))),"")</f>
        <v>g</v>
      </c>
      <c r="D123" s="69" t="n">
        <f aca="false">IFERROR(IF($A123="","",INDEX(Ingredients!$I$6:$I$47,MATCH($A123,Ingredients!$A$6:$A$47,0))),"")</f>
        <v>0.034</v>
      </c>
      <c r="E123" s="70" t="n">
        <f aca="false">IFERROR(IF(OR($A123="",$B123=""),"",$D123*$B123),"")</f>
        <v>0.34</v>
      </c>
    </row>
    <row r="124" customFormat="false" ht="15" hidden="false" customHeight="true" outlineLevel="0" collapsed="false">
      <c r="A124" s="59"/>
      <c r="B124" s="60"/>
      <c r="C124" s="68" t="str">
        <f aca="false">IFERROR(IF($A124="","",INDEX(Ingredients!$D$6:$D$47,MATCH($A124,Ingredients!$A$6:$A$47,0))),"")</f>
        <v/>
      </c>
      <c r="D124" s="69" t="str">
        <f aca="false">IFERROR(IF($A124="","",INDEX(Ingredients!$I$6:$I$47,MATCH($A124,Ingredients!$A$6:$A$47,0))),"")</f>
        <v/>
      </c>
      <c r="E124" s="70" t="str">
        <f aca="false">IFERROR(IF(OR($A124="",$B124=""),"",$D124*$B124),"")</f>
        <v/>
      </c>
    </row>
    <row r="125" customFormat="false" ht="15" hidden="false" customHeight="true" outlineLevel="0" collapsed="false">
      <c r="A125" s="59"/>
      <c r="B125" s="60"/>
      <c r="C125" s="68" t="str">
        <f aca="false">IFERROR(IF($A125="","",INDEX(Ingredients!$D$6:$D$47,MATCH($A125,Ingredients!$A$6:$A$47,0))),"")</f>
        <v/>
      </c>
      <c r="D125" s="69" t="str">
        <f aca="false">IFERROR(IF($A125="","",INDEX(Ingredients!$I$6:$I$47,MATCH($A125,Ingredients!$A$6:$A$47,0))),"")</f>
        <v/>
      </c>
      <c r="E125" s="70" t="str">
        <f aca="false">IFERROR(IF(OR($A125="",$B125=""),"",$D125*$B125),"")</f>
        <v/>
      </c>
    </row>
    <row r="126" customFormat="false" ht="15" hidden="false" customHeight="true" outlineLevel="0" collapsed="false">
      <c r="A126" s="59"/>
      <c r="B126" s="60"/>
      <c r="C126" s="68" t="str">
        <f aca="false">IFERROR(IF($A126="","",INDEX(Ingredients!$D$6:$D$47,MATCH($A126,Ingredients!$A$6:$A$47,0))),"")</f>
        <v/>
      </c>
      <c r="D126" s="69" t="str">
        <f aca="false">IFERROR(IF($A126="","",INDEX(Ingredients!$I$6:$I$47,MATCH($A126,Ingredients!$A$6:$A$47,0))),"")</f>
        <v/>
      </c>
      <c r="E126" s="70" t="str">
        <f aca="false">IFERROR(IF(OR($A126="",$B126=""),"",$D126*$B126),"")</f>
        <v/>
      </c>
    </row>
    <row r="127" customFormat="false" ht="15" hidden="false" customHeight="true" outlineLevel="0" collapsed="false">
      <c r="A127" s="59"/>
      <c r="B127" s="60"/>
      <c r="C127" s="68" t="str">
        <f aca="false">IFERROR(IF($A127="","",INDEX(Ingredients!$D$6:$D$47,MATCH($A127,Ingredients!$A$6:$A$47,0))),"")</f>
        <v/>
      </c>
      <c r="D127" s="69" t="str">
        <f aca="false">IFERROR(IF($A127="","",INDEX(Ingredients!$I$6:$I$47,MATCH($A127,Ingredients!$A$6:$A$47,0))),"")</f>
        <v/>
      </c>
      <c r="E127" s="70" t="str">
        <f aca="false">IFERROR(IF(OR($A127="",$B127=""),"",$D127*$B127),"")</f>
        <v/>
      </c>
    </row>
    <row r="128" customFormat="false" ht="15" hidden="false" customHeight="true" outlineLevel="0" collapsed="false">
      <c r="A128" s="59"/>
      <c r="B128" s="60"/>
      <c r="C128" s="68" t="str">
        <f aca="false">IFERROR(IF($A128="","",INDEX(Ingredients!$D$6:$D$47,MATCH($A128,Ingredients!$A$6:$A$47,0))),"")</f>
        <v/>
      </c>
      <c r="D128" s="69" t="str">
        <f aca="false">IFERROR(IF($A128="","",INDEX(Ingredients!$I$6:$I$47,MATCH($A128,Ingredients!$A$6:$A$47,0))),"")</f>
        <v/>
      </c>
      <c r="E128" s="70" t="str">
        <f aca="false">IFERROR(IF(OR($A128="",$B128=""),"",$D128*$B128),"")</f>
        <v/>
      </c>
    </row>
    <row r="129" customFormat="false" ht="15" hidden="false" customHeight="true" outlineLevel="0" collapsed="false">
      <c r="A129" s="59"/>
      <c r="B129" s="60"/>
      <c r="C129" s="68" t="str">
        <f aca="false">IFERROR(IF($A129="","",INDEX(Ingredients!$D$6:$D$47,MATCH($A129,Ingredients!$A$6:$A$47,0))),"")</f>
        <v/>
      </c>
      <c r="D129" s="69" t="str">
        <f aca="false">IFERROR(IF($A129="","",INDEX(Ingredients!$I$6:$I$47,MATCH($A129,Ingredients!$A$6:$A$47,0))),"")</f>
        <v/>
      </c>
      <c r="E129" s="70" t="str">
        <f aca="false">IFERROR(IF(OR($A129="",$B129=""),"",$D129*$B129),"")</f>
        <v/>
      </c>
    </row>
    <row r="130" customFormat="false" ht="15" hidden="false" customHeight="true" outlineLevel="0" collapsed="false">
      <c r="A130" s="59"/>
      <c r="B130" s="60"/>
      <c r="C130" s="68" t="str">
        <f aca="false">IFERROR(IF($A130="","",INDEX(Ingredients!$D$6:$D$47,MATCH($A130,Ingredients!$A$6:$A$47,0))),"")</f>
        <v/>
      </c>
      <c r="D130" s="69" t="str">
        <f aca="false">IFERROR(IF($A130="","",INDEX(Ingredients!$I$6:$I$47,MATCH($A130,Ingredients!$A$6:$A$47,0))),"")</f>
        <v/>
      </c>
      <c r="E130" s="70" t="str">
        <f aca="false">IFERROR(IF(OR($A130="",$B130=""),"",$D130*$B130),"")</f>
        <v/>
      </c>
    </row>
    <row r="131" customFormat="false" ht="15" hidden="false" customHeight="true" outlineLevel="0" collapsed="false">
      <c r="A131" s="59"/>
      <c r="B131" s="60"/>
      <c r="C131" s="68" t="str">
        <f aca="false">IFERROR(IF($A131="","",INDEX(Ingredients!$D$6:$D$47,MATCH($A131,Ingredients!$A$6:$A$47,0))),"")</f>
        <v/>
      </c>
      <c r="D131" s="69" t="str">
        <f aca="false">IFERROR(IF($A131="","",INDEX(Ingredients!$I$6:$I$47,MATCH($A131,Ingredients!$A$6:$A$47,0))),"")</f>
        <v/>
      </c>
      <c r="E131" s="70" t="str">
        <f aca="false">IFERROR(IF(OR($A131="",$B131=""),"",$D131*$B131),"")</f>
        <v/>
      </c>
    </row>
    <row r="132" customFormat="false" ht="15" hidden="false" customHeight="true" outlineLevel="0" collapsed="false">
      <c r="A132" s="71" t="s">
        <v>255</v>
      </c>
      <c r="B132" s="72"/>
      <c r="C132" s="72"/>
      <c r="D132" s="72"/>
      <c r="E132" s="73" t="n">
        <f aca="false">SUM($E$118:$E$131)</f>
        <v>10.9517567567568</v>
      </c>
      <c r="F132" s="72"/>
      <c r="G132" s="72"/>
    </row>
    <row r="133" customFormat="false" ht="17.25" hidden="false" customHeight="true" outlineLevel="0" collapsed="false">
      <c r="A133" s="74" t="s">
        <v>256</v>
      </c>
      <c r="B133" s="75"/>
      <c r="C133" s="75"/>
      <c r="D133" s="75"/>
      <c r="E133" s="78" t="n">
        <f aca="false">IFERROR(IF($B$115=0,"",$E$132/$B$115),"")</f>
        <v>10.9517567567568</v>
      </c>
      <c r="F133" s="75"/>
      <c r="G133" s="75"/>
    </row>
    <row r="135" customFormat="false" ht="15" hidden="false" customHeight="true" outlineLevel="0" collapsed="false">
      <c r="A135" s="79" t="s">
        <v>257</v>
      </c>
      <c r="B135" s="80"/>
      <c r="C135" s="80"/>
      <c r="D135" s="80"/>
      <c r="E135" s="81" t="n">
        <v>28</v>
      </c>
      <c r="F135" s="80"/>
      <c r="G135" s="82" t="s">
        <v>258</v>
      </c>
    </row>
    <row r="136" customFormat="false" ht="15" hidden="false" customHeight="true" outlineLevel="0" collapsed="false">
      <c r="A136" s="17" t="s">
        <v>259</v>
      </c>
      <c r="E136" s="83" t="n">
        <f aca="false">IFERROR($E$135/(1+Settings!$D$12),0)</f>
        <v>26.6666666666667</v>
      </c>
      <c r="G136" s="21" t="s">
        <v>260</v>
      </c>
    </row>
    <row r="137" customFormat="false" ht="15" hidden="false" customHeight="true" outlineLevel="0" collapsed="false">
      <c r="A137" s="17" t="s">
        <v>261</v>
      </c>
      <c r="E137" s="84" t="n">
        <f aca="false">IFERROR($E$133,0)</f>
        <v>10.9517567567568</v>
      </c>
      <c r="F137" s="85" t="n">
        <f aca="false">IFERROR($E$137/$E$136,0)</f>
        <v>0.410690878378379</v>
      </c>
    </row>
    <row r="138" customFormat="false" ht="15.75" hidden="false" customHeight="true" outlineLevel="0" collapsed="false">
      <c r="A138" s="74" t="s">
        <v>262</v>
      </c>
      <c r="B138" s="75"/>
      <c r="C138" s="75"/>
      <c r="D138" s="75"/>
      <c r="E138" s="86" t="n">
        <f aca="false">IFERROR($E$136-$E$137,0)</f>
        <v>15.7149099099099</v>
      </c>
      <c r="F138" s="87" t="n">
        <f aca="false">IFERROR($E$138/$E$136,0)</f>
        <v>0.589309121621622</v>
      </c>
      <c r="G138" s="88" t="str">
        <f aca="false">IF($E$136=0,"",IF($F$138&gt;=IF($B$116="Coffee &amp; Tea",Settings!$B$19,IF($B$116="Juice &amp; Smoothie",Settings!$B$20,Settings!$B$18)),"On target  -  target "&amp;TEXT(IF($B$116="Coffee &amp; Tea",Settings!$B$19,IF($B$116="Juice &amp; Smoothie",Settings!$B$20,Settings!$B$18)),"0%"),"BELOW TARGET  -  target "&amp;TEXT(IF($B$116="Coffee &amp; Tea",Settings!$B$19,IF($B$116="Juice &amp; Smoothie",Settings!$B$20,Settings!$B$18)),"0%")))</f>
        <v>BELOW TARGET  -  target 65%</v>
      </c>
    </row>
  </sheetData>
  <sheetProtection sheet="true" password="b7e1" objects="true" scenarios="true" formatCells="false" formatColumns="false" formatRows="false" sort="false" autoFilter="false"/>
  <mergeCells count="6">
    <mergeCell ref="A3:G3"/>
    <mergeCell ref="B6:D6"/>
    <mergeCell ref="B33:D33"/>
    <mergeCell ref="B60:D60"/>
    <mergeCell ref="B87:D87"/>
    <mergeCell ref="B114:D114"/>
  </mergeCells>
  <conditionalFormatting sqref="G30">
    <cfRule type="expression" priority="2" aboveAverage="0" equalAverage="0" bottom="0" percent="0" rank="0" text="" dxfId="0">
      <formula>ISNUMBER(SEARCH("On target",$G$30))</formula>
    </cfRule>
    <cfRule type="expression" priority="3" aboveAverage="0" equalAverage="0" bottom="0" percent="0" rank="0" text="" dxfId="1">
      <formula>ISNUMBER(SEARCH("BELOW",$G$30))</formula>
    </cfRule>
  </conditionalFormatting>
  <conditionalFormatting sqref="G57">
    <cfRule type="expression" priority="4" aboveAverage="0" equalAverage="0" bottom="0" percent="0" rank="0" text="" dxfId="0">
      <formula>ISNUMBER(SEARCH("On target",$G$57))</formula>
    </cfRule>
    <cfRule type="expression" priority="5" aboveAverage="0" equalAverage="0" bottom="0" percent="0" rank="0" text="" dxfId="1">
      <formula>ISNUMBER(SEARCH("BELOW",$G$57))</formula>
    </cfRule>
  </conditionalFormatting>
  <conditionalFormatting sqref="G84">
    <cfRule type="expression" priority="6" aboveAverage="0" equalAverage="0" bottom="0" percent="0" rank="0" text="" dxfId="0">
      <formula>ISNUMBER(SEARCH("On target",$G$84))</formula>
    </cfRule>
    <cfRule type="expression" priority="7" aboveAverage="0" equalAverage="0" bottom="0" percent="0" rank="0" text="" dxfId="1">
      <formula>ISNUMBER(SEARCH("BELOW",$G$84))</formula>
    </cfRule>
  </conditionalFormatting>
  <conditionalFormatting sqref="G111">
    <cfRule type="expression" priority="8" aboveAverage="0" equalAverage="0" bottom="0" percent="0" rank="0" text="" dxfId="0">
      <formula>ISNUMBER(SEARCH("On target",$G$111))</formula>
    </cfRule>
    <cfRule type="expression" priority="9" aboveAverage="0" equalAverage="0" bottom="0" percent="0" rank="0" text="" dxfId="1">
      <formula>ISNUMBER(SEARCH("BELOW",$G$111))</formula>
    </cfRule>
  </conditionalFormatting>
  <conditionalFormatting sqref="G138">
    <cfRule type="expression" priority="10" aboveAverage="0" equalAverage="0" bottom="0" percent="0" rank="0" text="" dxfId="0">
      <formula>ISNUMBER(SEARCH("On target",$G$138))</formula>
    </cfRule>
    <cfRule type="expression" priority="11" aboveAverage="0" equalAverage="0" bottom="0" percent="0" rank="0" text="" dxfId="1">
      <formula>ISNUMBER(SEARCH("BELOW",$G$138))</formula>
    </cfRule>
  </conditionalFormatting>
  <dataValidations count="2">
    <dataValidation allowBlank="true" errorStyle="stop" operator="between" showDropDown="false" showErrorMessage="false" showInputMessage="false" sqref="A10:A23 A37:A50 A64:A77 A91:A104 A118:A131" type="list">
      <formula1>IngredientList</formula1>
      <formula2>0</formula2>
    </dataValidation>
    <dataValidation allowBlank="false" errorStyle="stop" operator="between" showDropDown="false" showErrorMessage="false" showInputMessage="false" sqref="B8 B35 B62 B89 B116" type="list">
      <formula1>"Food,Coffee &amp; Tea,Juice &amp; Smoothie"</formula1>
      <formula2>0</formula2>
    </dataValidation>
  </dataValidations>
  <printOptions headings="false" gridLines="false" gridLinesSet="true" horizontalCentered="false" verticalCentered="false"/>
  <pageMargins left="0.4" right="0.4" top="0.5" bottom="0.5"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&amp;L&amp;8 &amp;K6b6157Back of House - Recipes and Costing&amp;R&amp;8 &amp;K6b6157backofhouseco.com</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4"/>
    <col collapsed="false" customWidth="true" hidden="false" outlineLevel="0" max="2" min="2" style="1" width="13"/>
    <col collapsed="false" customWidth="true" hidden="false" outlineLevel="0" max="3" min="3" style="1" width="10"/>
    <col collapsed="false" customWidth="true" hidden="false" outlineLevel="0" max="4" min="4" style="1" width="18"/>
    <col collapsed="false" customWidth="true" hidden="false" outlineLevel="0" max="5" min="5" style="1" width="14"/>
    <col collapsed="false" customWidth="true" hidden="false" outlineLevel="0" max="6" min="6" style="1" width="15"/>
    <col collapsed="false" customWidth="true" hidden="false" outlineLevel="0" max="7" min="7" style="1" width="44"/>
  </cols>
  <sheetData>
    <row r="1" customFormat="false" ht="18" hidden="false" customHeight="true" outlineLevel="0" collapsed="false">
      <c r="A1" s="12" t="s">
        <v>271</v>
      </c>
    </row>
    <row r="2" customFormat="false" ht="15" hidden="false" customHeight="true" outlineLevel="0" collapsed="false">
      <c r="A2" s="37" t="str">
        <f aca="false">" 1 cards, 14 ingredient lines each. Pick from the dropdown and it brings its own unit and its usable cost with it. EXCLUDING VAT, in "&amp;Settings!$D$11&amp;"."</f>
        <v> 1 cards, 14 ingredient lines each. Pick from the dropdown and it brings its own unit and its usable cost with it. EXCLUDING VAT, in AED.</v>
      </c>
    </row>
    <row r="3" customFormat="false" ht="25.5" hidden="false" customHeight="true" outlineLevel="0" collapsed="false">
      <c r="A3" s="13" t="s">
        <v>244</v>
      </c>
      <c r="B3" s="13"/>
      <c r="C3" s="13"/>
      <c r="D3" s="13"/>
      <c r="E3" s="13"/>
      <c r="F3" s="13"/>
      <c r="G3" s="13"/>
    </row>
    <row r="5" customFormat="false" ht="15" hidden="false" customHeight="true" outlineLevel="0" collapsed="false">
      <c r="A5" s="15" t="s">
        <v>272</v>
      </c>
      <c r="B5" s="8"/>
      <c r="C5" s="8"/>
      <c r="D5" s="8"/>
      <c r="E5" s="8"/>
      <c r="F5" s="8"/>
      <c r="G5" s="8"/>
    </row>
    <row r="6" customFormat="false" ht="15" hidden="false" customHeight="true" outlineLevel="0" collapsed="false">
      <c r="A6" s="19" t="s">
        <v>246</v>
      </c>
      <c r="B6" s="20" t="s">
        <v>273</v>
      </c>
      <c r="C6" s="20"/>
      <c r="D6" s="20"/>
    </row>
    <row r="7" customFormat="false" ht="15" hidden="false" customHeight="true" outlineLevel="0" collapsed="false">
      <c r="A7" s="17" t="s">
        <v>248</v>
      </c>
      <c r="B7" s="67" t="n">
        <v>1</v>
      </c>
      <c r="G7" s="21" t="s">
        <v>249</v>
      </c>
    </row>
    <row r="8" customFormat="false" ht="15" hidden="false" customHeight="true" outlineLevel="0" collapsed="false">
      <c r="A8" s="17" t="s">
        <v>136</v>
      </c>
      <c r="B8" s="18" t="s">
        <v>250</v>
      </c>
      <c r="G8" s="21" t="s">
        <v>251</v>
      </c>
    </row>
    <row r="9" customFormat="false" ht="19.5" hidden="false" customHeight="true" outlineLevel="0" collapsed="false">
      <c r="A9" s="33" t="s">
        <v>252</v>
      </c>
      <c r="B9" s="34" t="s">
        <v>227</v>
      </c>
      <c r="C9" s="34" t="s">
        <v>160</v>
      </c>
      <c r="D9" s="34" t="s">
        <v>228</v>
      </c>
      <c r="E9" s="34" t="s">
        <v>229</v>
      </c>
      <c r="F9" s="34"/>
      <c r="G9" s="34"/>
    </row>
    <row r="10" customFormat="false" ht="15" hidden="false" customHeight="true" outlineLevel="0" collapsed="false">
      <c r="A10" s="59" t="s">
        <v>274</v>
      </c>
      <c r="B10" s="60" t="n">
        <v>220</v>
      </c>
      <c r="C10" s="68" t="str">
        <f aca="false">IFERROR(IF($A10="","",INDEX(Ingredients!$D$6:$D$47,MATCH($A10,Ingredients!$A$6:$A$47,0))),"")</f>
        <v/>
      </c>
      <c r="D10" s="69" t="str">
        <f aca="false">IFERROR(IF($A10="","",INDEX(Ingredients!$I$6:$I$47,MATCH($A10,Ingredients!$A$6:$A$47,0))),"")</f>
        <v/>
      </c>
      <c r="E10" s="70" t="str">
        <f aca="false">IFERROR(IF(OR($A10="",$B10=""),"",$D10*$B10),"")</f>
        <v/>
      </c>
    </row>
    <row r="11" customFormat="false" ht="15" hidden="false" customHeight="true" outlineLevel="0" collapsed="false">
      <c r="A11" s="59" t="s">
        <v>275</v>
      </c>
      <c r="B11" s="60" t="n">
        <v>22</v>
      </c>
      <c r="C11" s="68" t="str">
        <f aca="false">IFERROR(IF($A11="","",INDEX(Ingredients!$D$6:$D$47,MATCH($A11,Ingredients!$A$6:$A$47,0))),"")</f>
        <v/>
      </c>
      <c r="D11" s="69" t="str">
        <f aca="false">IFERROR(IF($A11="","",INDEX(Ingredients!$I$6:$I$47,MATCH($A11,Ingredients!$A$6:$A$47,0))),"")</f>
        <v/>
      </c>
      <c r="E11" s="70" t="str">
        <f aca="false">IFERROR(IF(OR($A11="",$B11=""),"",$D11*$B11),"")</f>
        <v/>
      </c>
    </row>
    <row r="12" customFormat="false" ht="15" hidden="false" customHeight="true" outlineLevel="0" collapsed="false">
      <c r="A12" s="59" t="s">
        <v>276</v>
      </c>
      <c r="B12" s="60" t="n">
        <v>3</v>
      </c>
      <c r="C12" s="68" t="str">
        <f aca="false">IFERROR(IF($A12="","",INDEX(Ingredients!$D$6:$D$47,MATCH($A12,Ingredients!$A$6:$A$47,0))),"")</f>
        <v/>
      </c>
      <c r="D12" s="69" t="str">
        <f aca="false">IFERROR(IF($A12="","",INDEX(Ingredients!$I$6:$I$47,MATCH($A12,Ingredients!$A$6:$A$47,0))),"")</f>
        <v/>
      </c>
      <c r="E12" s="70" t="str">
        <f aca="false">IFERROR(IF(OR($A12="",$B12=""),"",$D12*$B12),"")</f>
        <v/>
      </c>
    </row>
    <row r="13" customFormat="false" ht="15" hidden="false" customHeight="true" outlineLevel="0" collapsed="false">
      <c r="A13" s="59"/>
      <c r="B13" s="60"/>
      <c r="C13" s="68" t="str">
        <f aca="false">IFERROR(IF($A13="","",INDEX(Ingredients!$D$6:$D$47,MATCH($A13,Ingredients!$A$6:$A$47,0))),"")</f>
        <v/>
      </c>
      <c r="D13" s="69" t="str">
        <f aca="false">IFERROR(IF($A13="","",INDEX(Ingredients!$I$6:$I$47,MATCH($A13,Ingredients!$A$6:$A$47,0))),"")</f>
        <v/>
      </c>
      <c r="E13" s="70" t="str">
        <f aca="false">IFERROR(IF(OR($A13="",$B13=""),"",$D13*$B13),"")</f>
        <v/>
      </c>
    </row>
    <row r="14" customFormat="false" ht="15" hidden="false" customHeight="true" outlineLevel="0" collapsed="false">
      <c r="A14" s="59"/>
      <c r="B14" s="60"/>
      <c r="C14" s="68" t="str">
        <f aca="false">IFERROR(IF($A14="","",INDEX(Ingredients!$D$6:$D$47,MATCH($A14,Ingredients!$A$6:$A$47,0))),"")</f>
        <v/>
      </c>
      <c r="D14" s="69" t="str">
        <f aca="false">IFERROR(IF($A14="","",INDEX(Ingredients!$I$6:$I$47,MATCH($A14,Ingredients!$A$6:$A$47,0))),"")</f>
        <v/>
      </c>
      <c r="E14" s="70" t="str">
        <f aca="false">IFERROR(IF(OR($A14="",$B14=""),"",$D14*$B14),"")</f>
        <v/>
      </c>
    </row>
    <row r="15" customFormat="false" ht="15" hidden="false" customHeight="true" outlineLevel="0" collapsed="false">
      <c r="A15" s="59"/>
      <c r="B15" s="60"/>
      <c r="C15" s="68" t="str">
        <f aca="false">IFERROR(IF($A15="","",INDEX(Ingredients!$D$6:$D$47,MATCH($A15,Ingredients!$A$6:$A$47,0))),"")</f>
        <v/>
      </c>
      <c r="D15" s="69" t="str">
        <f aca="false">IFERROR(IF($A15="","",INDEX(Ingredients!$I$6:$I$47,MATCH($A15,Ingredients!$A$6:$A$47,0))),"")</f>
        <v/>
      </c>
      <c r="E15" s="70" t="str">
        <f aca="false">IFERROR(IF(OR($A15="",$B15=""),"",$D15*$B15),"")</f>
        <v/>
      </c>
    </row>
    <row r="16" customFormat="false" ht="15" hidden="false" customHeight="true" outlineLevel="0" collapsed="false">
      <c r="A16" s="59"/>
      <c r="B16" s="60"/>
      <c r="C16" s="68" t="str">
        <f aca="false">IFERROR(IF($A16="","",INDEX(Ingredients!$D$6:$D$47,MATCH($A16,Ingredients!$A$6:$A$47,0))),"")</f>
        <v/>
      </c>
      <c r="D16" s="69" t="str">
        <f aca="false">IFERROR(IF($A16="","",INDEX(Ingredients!$I$6:$I$47,MATCH($A16,Ingredients!$A$6:$A$47,0))),"")</f>
        <v/>
      </c>
      <c r="E16" s="70" t="str">
        <f aca="false">IFERROR(IF(OR($A16="",$B16=""),"",$D16*$B16),"")</f>
        <v/>
      </c>
    </row>
    <row r="17" customFormat="false" ht="15" hidden="false" customHeight="true" outlineLevel="0" collapsed="false">
      <c r="A17" s="59"/>
      <c r="B17" s="60"/>
      <c r="C17" s="68" t="str">
        <f aca="false">IFERROR(IF($A17="","",INDEX(Ingredients!$D$6:$D$47,MATCH($A17,Ingredients!$A$6:$A$47,0))),"")</f>
        <v/>
      </c>
      <c r="D17" s="69" t="str">
        <f aca="false">IFERROR(IF($A17="","",INDEX(Ingredients!$I$6:$I$47,MATCH($A17,Ingredients!$A$6:$A$47,0))),"")</f>
        <v/>
      </c>
      <c r="E17" s="70" t="str">
        <f aca="false">IFERROR(IF(OR($A17="",$B17=""),"",$D17*$B17),"")</f>
        <v/>
      </c>
    </row>
    <row r="18" customFormat="false" ht="15" hidden="false" customHeight="true" outlineLevel="0" collapsed="false">
      <c r="A18" s="59"/>
      <c r="B18" s="60"/>
      <c r="C18" s="68" t="str">
        <f aca="false">IFERROR(IF($A18="","",INDEX(Ingredients!$D$6:$D$47,MATCH($A18,Ingredients!$A$6:$A$47,0))),"")</f>
        <v/>
      </c>
      <c r="D18" s="69" t="str">
        <f aca="false">IFERROR(IF($A18="","",INDEX(Ingredients!$I$6:$I$47,MATCH($A18,Ingredients!$A$6:$A$47,0))),"")</f>
        <v/>
      </c>
      <c r="E18" s="70" t="str">
        <f aca="false">IFERROR(IF(OR($A18="",$B18=""),"",$D18*$B18),"")</f>
        <v/>
      </c>
    </row>
    <row r="19" customFormat="false" ht="15" hidden="false" customHeight="true" outlineLevel="0" collapsed="false">
      <c r="A19" s="59"/>
      <c r="B19" s="60"/>
      <c r="C19" s="68" t="str">
        <f aca="false">IFERROR(IF($A19="","",INDEX(Ingredients!$D$6:$D$47,MATCH($A19,Ingredients!$A$6:$A$47,0))),"")</f>
        <v/>
      </c>
      <c r="D19" s="69" t="str">
        <f aca="false">IFERROR(IF($A19="","",INDEX(Ingredients!$I$6:$I$47,MATCH($A19,Ingredients!$A$6:$A$47,0))),"")</f>
        <v/>
      </c>
      <c r="E19" s="70" t="str">
        <f aca="false">IFERROR(IF(OR($A19="",$B19=""),"",$D19*$B19),"")</f>
        <v/>
      </c>
    </row>
    <row r="20" customFormat="false" ht="15" hidden="false" customHeight="true" outlineLevel="0" collapsed="false">
      <c r="A20" s="59"/>
      <c r="B20" s="60"/>
      <c r="C20" s="68" t="str">
        <f aca="false">IFERROR(IF($A20="","",INDEX(Ingredients!$D$6:$D$47,MATCH($A20,Ingredients!$A$6:$A$47,0))),"")</f>
        <v/>
      </c>
      <c r="D20" s="69" t="str">
        <f aca="false">IFERROR(IF($A20="","",INDEX(Ingredients!$I$6:$I$47,MATCH($A20,Ingredients!$A$6:$A$47,0))),"")</f>
        <v/>
      </c>
      <c r="E20" s="70" t="str">
        <f aca="false">IFERROR(IF(OR($A20="",$B20=""),"",$D20*$B20),"")</f>
        <v/>
      </c>
    </row>
    <row r="21" customFormat="false" ht="15" hidden="false" customHeight="true" outlineLevel="0" collapsed="false">
      <c r="A21" s="59"/>
      <c r="B21" s="60"/>
      <c r="C21" s="68" t="str">
        <f aca="false">IFERROR(IF($A21="","",INDEX(Ingredients!$D$6:$D$47,MATCH($A21,Ingredients!$A$6:$A$47,0))),"")</f>
        <v/>
      </c>
      <c r="D21" s="69" t="str">
        <f aca="false">IFERROR(IF($A21="","",INDEX(Ingredients!$I$6:$I$47,MATCH($A21,Ingredients!$A$6:$A$47,0))),"")</f>
        <v/>
      </c>
      <c r="E21" s="70" t="str">
        <f aca="false">IFERROR(IF(OR($A21="",$B21=""),"",$D21*$B21),"")</f>
        <v/>
      </c>
    </row>
    <row r="22" customFormat="false" ht="15" hidden="false" customHeight="true" outlineLevel="0" collapsed="false">
      <c r="A22" s="59"/>
      <c r="B22" s="60"/>
      <c r="C22" s="68" t="str">
        <f aca="false">IFERROR(IF($A22="","",INDEX(Ingredients!$D$6:$D$47,MATCH($A22,Ingredients!$A$6:$A$47,0))),"")</f>
        <v/>
      </c>
      <c r="D22" s="69" t="str">
        <f aca="false">IFERROR(IF($A22="","",INDEX(Ingredients!$I$6:$I$47,MATCH($A22,Ingredients!$A$6:$A$47,0))),"")</f>
        <v/>
      </c>
      <c r="E22" s="70" t="str">
        <f aca="false">IFERROR(IF(OR($A22="",$B22=""),"",$D22*$B22),"")</f>
        <v/>
      </c>
    </row>
    <row r="23" customFormat="false" ht="15" hidden="false" customHeight="true" outlineLevel="0" collapsed="false">
      <c r="A23" s="59"/>
      <c r="B23" s="60"/>
      <c r="C23" s="68" t="str">
        <f aca="false">IFERROR(IF($A23="","",INDEX(Ingredients!$D$6:$D$47,MATCH($A23,Ingredients!$A$6:$A$47,0))),"")</f>
        <v/>
      </c>
      <c r="D23" s="69" t="str">
        <f aca="false">IFERROR(IF($A23="","",INDEX(Ingredients!$I$6:$I$47,MATCH($A23,Ingredients!$A$6:$A$47,0))),"")</f>
        <v/>
      </c>
      <c r="E23" s="70" t="str">
        <f aca="false">IFERROR(IF(OR($A23="",$B23=""),"",$D23*$B23),"")</f>
        <v/>
      </c>
    </row>
    <row r="24" customFormat="false" ht="15" hidden="false" customHeight="true" outlineLevel="0" collapsed="false">
      <c r="A24" s="71" t="s">
        <v>255</v>
      </c>
      <c r="B24" s="72"/>
      <c r="C24" s="72"/>
      <c r="D24" s="72"/>
      <c r="E24" s="73" t="n">
        <f aca="false">SUM($E$10:$E$23)</f>
        <v>0</v>
      </c>
      <c r="F24" s="72"/>
      <c r="G24" s="72"/>
    </row>
    <row r="25" customFormat="false" ht="17.25" hidden="false" customHeight="true" outlineLevel="0" collapsed="false">
      <c r="A25" s="74" t="s">
        <v>256</v>
      </c>
      <c r="B25" s="75"/>
      <c r="C25" s="75"/>
      <c r="D25" s="75"/>
      <c r="E25" s="78" t="n">
        <f aca="false">IFERROR(IF($B$7=0,"",$E$24/$B$7),"")</f>
        <v>0</v>
      </c>
      <c r="F25" s="75"/>
      <c r="G25" s="75"/>
    </row>
    <row r="27" customFormat="false" ht="15" hidden="false" customHeight="true" outlineLevel="0" collapsed="false">
      <c r="A27" s="79" t="s">
        <v>257</v>
      </c>
      <c r="B27" s="80"/>
      <c r="C27" s="80"/>
      <c r="D27" s="80"/>
      <c r="E27" s="81" t="n">
        <v>16</v>
      </c>
      <c r="F27" s="80"/>
      <c r="G27" s="82" t="s">
        <v>258</v>
      </c>
    </row>
    <row r="28" customFormat="false" ht="15" hidden="false" customHeight="true" outlineLevel="0" collapsed="false">
      <c r="A28" s="17" t="s">
        <v>259</v>
      </c>
      <c r="E28" s="83" t="n">
        <f aca="false">IFERROR($E$27/(1+Settings!$D$12),0)</f>
        <v>15.2380952380952</v>
      </c>
      <c r="G28" s="21" t="s">
        <v>260</v>
      </c>
    </row>
    <row r="29" customFormat="false" ht="15" hidden="false" customHeight="true" outlineLevel="0" collapsed="false">
      <c r="A29" s="17" t="s">
        <v>261</v>
      </c>
      <c r="E29" s="84" t="n">
        <f aca="false">IFERROR($E$25,0)</f>
        <v>0</v>
      </c>
      <c r="F29" s="85" t="n">
        <f aca="false">IFERROR($E$29/$E$28,0)</f>
        <v>0</v>
      </c>
    </row>
    <row r="30" customFormat="false" ht="15.75" hidden="false" customHeight="true" outlineLevel="0" collapsed="false">
      <c r="A30" s="74" t="s">
        <v>262</v>
      </c>
      <c r="B30" s="75"/>
      <c r="C30" s="75"/>
      <c r="D30" s="75"/>
      <c r="E30" s="86" t="n">
        <f aca="false">IFERROR($E$28-$E$29,0)</f>
        <v>15.2380952380952</v>
      </c>
      <c r="F30" s="87" t="n">
        <f aca="false">IFERROR($E$30/$E$28,0)</f>
        <v>1</v>
      </c>
      <c r="G30" s="88" t="str">
        <f aca="false">IF($E$28=0,"",IF($F$30&gt;=IF($B$8="Coffee &amp; Tea",Settings!$B$19,IF($B$8="Juice &amp; Smoothie",Settings!$B$20,Settings!$B$18)),"On target  -  target "&amp;TEXT(IF($B$8="Coffee &amp; Tea",Settings!$B$19,IF($B$8="Juice &amp; Smoothie",Settings!$B$20,Settings!$B$18)),"0%"),"BELOW TARGET  -  target "&amp;TEXT(IF($B$8="Coffee &amp; Tea",Settings!$B$19,IF($B$8="Juice &amp; Smoothie",Settings!$B$20,Settings!$B$18)),"0%")))</f>
        <v>On target  -  target 65%</v>
      </c>
    </row>
  </sheetData>
  <sheetProtection sheet="true" password="b7e1" objects="true" scenarios="true" formatCells="false" formatColumns="false" formatRows="false" sort="false" autoFilter="false"/>
  <mergeCells count="2">
    <mergeCell ref="A3:G3"/>
    <mergeCell ref="B6:D6"/>
  </mergeCells>
  <conditionalFormatting sqref="G30">
    <cfRule type="expression" priority="2" aboveAverage="0" equalAverage="0" bottom="0" percent="0" rank="0" text="" dxfId="0">
      <formula>ISNUMBER(SEARCH("On target",$G$30))</formula>
    </cfRule>
    <cfRule type="expression" priority="3" aboveAverage="0" equalAverage="0" bottom="0" percent="0" rank="0" text="" dxfId="1">
      <formula>ISNUMBER(SEARCH("BELOW",$G$30))</formula>
    </cfRule>
  </conditionalFormatting>
  <dataValidations count="2">
    <dataValidation allowBlank="true" errorStyle="stop" operator="between" showDropDown="false" showErrorMessage="false" showInputMessage="false" sqref="A10:A23" type="list">
      <formula1>IngredientList</formula1>
      <formula2>0</formula2>
    </dataValidation>
    <dataValidation allowBlank="false" errorStyle="stop" operator="between" showDropDown="false" showErrorMessage="false" showInputMessage="false" sqref="B8" type="list">
      <formula1>"Food,Coffee &amp; Tea,Juice &amp; Smoothie"</formula1>
      <formula2>0</formula2>
    </dataValidation>
  </dataValidations>
  <printOptions headings="false" gridLines="false" gridLinesSet="true" horizontalCentered="false" verticalCentered="false"/>
  <pageMargins left="0.4" right="0.4" top="0.5" bottom="0.5"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&amp;L&amp;8 &amp;K6b6157Back of House - Recipes and Costing&amp;R&amp;8 &amp;K6b6157backofhouseco.com</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5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4"/>
    <col collapsed="false" customWidth="true" hidden="false" outlineLevel="0" max="2" min="2" style="1" width="13"/>
    <col collapsed="false" customWidth="true" hidden="false" outlineLevel="0" max="3" min="3" style="1" width="10"/>
    <col collapsed="false" customWidth="true" hidden="false" outlineLevel="0" max="4" min="4" style="1" width="18"/>
    <col collapsed="false" customWidth="true" hidden="false" outlineLevel="0" max="5" min="5" style="1" width="14"/>
    <col collapsed="false" customWidth="true" hidden="false" outlineLevel="0" max="6" min="6" style="1" width="15"/>
    <col collapsed="false" customWidth="true" hidden="false" outlineLevel="0" max="7" min="7" style="1" width="44"/>
  </cols>
  <sheetData>
    <row r="1" customFormat="false" ht="18" hidden="false" customHeight="true" outlineLevel="0" collapsed="false">
      <c r="A1" s="12" t="s">
        <v>277</v>
      </c>
    </row>
    <row r="2" customFormat="false" ht="15" hidden="false" customHeight="true" outlineLevel="0" collapsed="false">
      <c r="A2" s="37" t="str">
        <f aca="false">" 2 cards, 14 ingredient lines each. Pick from the dropdown and it brings its own unit and its usable cost with it. EXCLUDING VAT, in "&amp;Settings!$D$11&amp;"."</f>
        <v> 2 cards, 14 ingredient lines each. Pick from the dropdown and it brings its own unit and its usable cost with it. EXCLUDING VAT, in AED.</v>
      </c>
    </row>
    <row r="3" customFormat="false" ht="25.5" hidden="false" customHeight="true" outlineLevel="0" collapsed="false">
      <c r="A3" s="13" t="s">
        <v>244</v>
      </c>
      <c r="B3" s="13"/>
      <c r="C3" s="13"/>
      <c r="D3" s="13"/>
      <c r="E3" s="13"/>
      <c r="F3" s="13"/>
      <c r="G3" s="13"/>
    </row>
    <row r="5" customFormat="false" ht="15" hidden="false" customHeight="true" outlineLevel="0" collapsed="false">
      <c r="A5" s="15" t="s">
        <v>278</v>
      </c>
      <c r="B5" s="8"/>
      <c r="C5" s="8"/>
      <c r="D5" s="8"/>
      <c r="E5" s="8"/>
      <c r="F5" s="8"/>
      <c r="G5" s="8"/>
    </row>
    <row r="6" customFormat="false" ht="15" hidden="false" customHeight="true" outlineLevel="0" collapsed="false">
      <c r="A6" s="19" t="s">
        <v>246</v>
      </c>
      <c r="B6" s="20" t="s">
        <v>279</v>
      </c>
      <c r="C6" s="20"/>
      <c r="D6" s="20"/>
    </row>
    <row r="7" customFormat="false" ht="15" hidden="false" customHeight="true" outlineLevel="0" collapsed="false">
      <c r="A7" s="17" t="s">
        <v>248</v>
      </c>
      <c r="B7" s="67" t="n">
        <v>1</v>
      </c>
      <c r="G7" s="21" t="s">
        <v>249</v>
      </c>
    </row>
    <row r="8" customFormat="false" ht="15" hidden="false" customHeight="true" outlineLevel="0" collapsed="false">
      <c r="A8" s="17" t="s">
        <v>136</v>
      </c>
      <c r="B8" s="18" t="s">
        <v>280</v>
      </c>
      <c r="G8" s="21" t="s">
        <v>251</v>
      </c>
    </row>
    <row r="9" customFormat="false" ht="19.5" hidden="false" customHeight="true" outlineLevel="0" collapsed="false">
      <c r="A9" s="33" t="s">
        <v>252</v>
      </c>
      <c r="B9" s="34" t="s">
        <v>227</v>
      </c>
      <c r="C9" s="34" t="s">
        <v>160</v>
      </c>
      <c r="D9" s="34" t="s">
        <v>228</v>
      </c>
      <c r="E9" s="34" t="s">
        <v>229</v>
      </c>
      <c r="F9" s="34"/>
      <c r="G9" s="34"/>
    </row>
    <row r="10" customFormat="false" ht="15" hidden="false" customHeight="true" outlineLevel="0" collapsed="false">
      <c r="A10" s="59" t="s">
        <v>281</v>
      </c>
      <c r="B10" s="60" t="n">
        <v>9</v>
      </c>
      <c r="C10" s="68" t="str">
        <f aca="false">IFERROR(IF($A10="","",INDEX(Ingredients!$D$6:$D$47,MATCH($A10,Ingredients!$A$6:$A$47,0))),"")</f>
        <v/>
      </c>
      <c r="D10" s="69" t="str">
        <f aca="false">IFERROR(IF($A10="","",INDEX(Ingredients!$I$6:$I$47,MATCH($A10,Ingredients!$A$6:$A$47,0))),"")</f>
        <v/>
      </c>
      <c r="E10" s="70" t="str">
        <f aca="false">IFERROR(IF(OR($A10="",$B10=""),"",$D10*$B10),"")</f>
        <v/>
      </c>
    </row>
    <row r="11" customFormat="false" ht="15" hidden="false" customHeight="true" outlineLevel="0" collapsed="false">
      <c r="A11" s="59" t="s">
        <v>282</v>
      </c>
      <c r="B11" s="60" t="n">
        <v>1</v>
      </c>
      <c r="C11" s="68" t="str">
        <f aca="false">IFERROR(IF($A11="","",INDEX(Ingredients!$D$6:$D$47,MATCH($A11,Ingredients!$A$6:$A$47,0))),"")</f>
        <v/>
      </c>
      <c r="D11" s="69" t="str">
        <f aca="false">IFERROR(IF($A11="","",INDEX(Ingredients!$I$6:$I$47,MATCH($A11,Ingredients!$A$6:$A$47,0))),"")</f>
        <v/>
      </c>
      <c r="E11" s="70" t="str">
        <f aca="false">IFERROR(IF(OR($A11="",$B11=""),"",$D11*$B11),"")</f>
        <v/>
      </c>
    </row>
    <row r="12" customFormat="false" ht="15" hidden="false" customHeight="true" outlineLevel="0" collapsed="false">
      <c r="A12" s="59"/>
      <c r="B12" s="60"/>
      <c r="C12" s="68" t="str">
        <f aca="false">IFERROR(IF($A12="","",INDEX(Ingredients!$D$6:$D$47,MATCH($A12,Ingredients!$A$6:$A$47,0))),"")</f>
        <v/>
      </c>
      <c r="D12" s="69" t="str">
        <f aca="false">IFERROR(IF($A12="","",INDEX(Ingredients!$I$6:$I$47,MATCH($A12,Ingredients!$A$6:$A$47,0))),"")</f>
        <v/>
      </c>
      <c r="E12" s="70" t="str">
        <f aca="false">IFERROR(IF(OR($A12="",$B12=""),"",$D12*$B12),"")</f>
        <v/>
      </c>
    </row>
    <row r="13" customFormat="false" ht="15" hidden="false" customHeight="true" outlineLevel="0" collapsed="false">
      <c r="A13" s="59"/>
      <c r="B13" s="60"/>
      <c r="C13" s="68" t="str">
        <f aca="false">IFERROR(IF($A13="","",INDEX(Ingredients!$D$6:$D$47,MATCH($A13,Ingredients!$A$6:$A$47,0))),"")</f>
        <v/>
      </c>
      <c r="D13" s="69" t="str">
        <f aca="false">IFERROR(IF($A13="","",INDEX(Ingredients!$I$6:$I$47,MATCH($A13,Ingredients!$A$6:$A$47,0))),"")</f>
        <v/>
      </c>
      <c r="E13" s="70" t="str">
        <f aca="false">IFERROR(IF(OR($A13="",$B13=""),"",$D13*$B13),"")</f>
        <v/>
      </c>
    </row>
    <row r="14" customFormat="false" ht="15" hidden="false" customHeight="true" outlineLevel="0" collapsed="false">
      <c r="A14" s="59"/>
      <c r="B14" s="60"/>
      <c r="C14" s="68" t="str">
        <f aca="false">IFERROR(IF($A14="","",INDEX(Ingredients!$D$6:$D$47,MATCH($A14,Ingredients!$A$6:$A$47,0))),"")</f>
        <v/>
      </c>
      <c r="D14" s="69" t="str">
        <f aca="false">IFERROR(IF($A14="","",INDEX(Ingredients!$I$6:$I$47,MATCH($A14,Ingredients!$A$6:$A$47,0))),"")</f>
        <v/>
      </c>
      <c r="E14" s="70" t="str">
        <f aca="false">IFERROR(IF(OR($A14="",$B14=""),"",$D14*$B14),"")</f>
        <v/>
      </c>
    </row>
    <row r="15" customFormat="false" ht="15" hidden="false" customHeight="true" outlineLevel="0" collapsed="false">
      <c r="A15" s="59"/>
      <c r="B15" s="60"/>
      <c r="C15" s="68" t="str">
        <f aca="false">IFERROR(IF($A15="","",INDEX(Ingredients!$D$6:$D$47,MATCH($A15,Ingredients!$A$6:$A$47,0))),"")</f>
        <v/>
      </c>
      <c r="D15" s="69" t="str">
        <f aca="false">IFERROR(IF($A15="","",INDEX(Ingredients!$I$6:$I$47,MATCH($A15,Ingredients!$A$6:$A$47,0))),"")</f>
        <v/>
      </c>
      <c r="E15" s="70" t="str">
        <f aca="false">IFERROR(IF(OR($A15="",$B15=""),"",$D15*$B15),"")</f>
        <v/>
      </c>
    </row>
    <row r="16" customFormat="false" ht="15" hidden="false" customHeight="true" outlineLevel="0" collapsed="false">
      <c r="A16" s="59"/>
      <c r="B16" s="60"/>
      <c r="C16" s="68" t="str">
        <f aca="false">IFERROR(IF($A16="","",INDEX(Ingredients!$D$6:$D$47,MATCH($A16,Ingredients!$A$6:$A$47,0))),"")</f>
        <v/>
      </c>
      <c r="D16" s="69" t="str">
        <f aca="false">IFERROR(IF($A16="","",INDEX(Ingredients!$I$6:$I$47,MATCH($A16,Ingredients!$A$6:$A$47,0))),"")</f>
        <v/>
      </c>
      <c r="E16" s="70" t="str">
        <f aca="false">IFERROR(IF(OR($A16="",$B16=""),"",$D16*$B16),"")</f>
        <v/>
      </c>
    </row>
    <row r="17" customFormat="false" ht="15" hidden="false" customHeight="true" outlineLevel="0" collapsed="false">
      <c r="A17" s="59"/>
      <c r="B17" s="60"/>
      <c r="C17" s="68" t="str">
        <f aca="false">IFERROR(IF($A17="","",INDEX(Ingredients!$D$6:$D$47,MATCH($A17,Ingredients!$A$6:$A$47,0))),"")</f>
        <v/>
      </c>
      <c r="D17" s="69" t="str">
        <f aca="false">IFERROR(IF($A17="","",INDEX(Ingredients!$I$6:$I$47,MATCH($A17,Ingredients!$A$6:$A$47,0))),"")</f>
        <v/>
      </c>
      <c r="E17" s="70" t="str">
        <f aca="false">IFERROR(IF(OR($A17="",$B17=""),"",$D17*$B17),"")</f>
        <v/>
      </c>
    </row>
    <row r="18" customFormat="false" ht="15" hidden="false" customHeight="true" outlineLevel="0" collapsed="false">
      <c r="A18" s="59"/>
      <c r="B18" s="60"/>
      <c r="C18" s="68" t="str">
        <f aca="false">IFERROR(IF($A18="","",INDEX(Ingredients!$D$6:$D$47,MATCH($A18,Ingredients!$A$6:$A$47,0))),"")</f>
        <v/>
      </c>
      <c r="D18" s="69" t="str">
        <f aca="false">IFERROR(IF($A18="","",INDEX(Ingredients!$I$6:$I$47,MATCH($A18,Ingredients!$A$6:$A$47,0))),"")</f>
        <v/>
      </c>
      <c r="E18" s="70" t="str">
        <f aca="false">IFERROR(IF(OR($A18="",$B18=""),"",$D18*$B18),"")</f>
        <v/>
      </c>
    </row>
    <row r="19" customFormat="false" ht="15" hidden="false" customHeight="true" outlineLevel="0" collapsed="false">
      <c r="A19" s="59"/>
      <c r="B19" s="60"/>
      <c r="C19" s="68" t="str">
        <f aca="false">IFERROR(IF($A19="","",INDEX(Ingredients!$D$6:$D$47,MATCH($A19,Ingredients!$A$6:$A$47,0))),"")</f>
        <v/>
      </c>
      <c r="D19" s="69" t="str">
        <f aca="false">IFERROR(IF($A19="","",INDEX(Ingredients!$I$6:$I$47,MATCH($A19,Ingredients!$A$6:$A$47,0))),"")</f>
        <v/>
      </c>
      <c r="E19" s="70" t="str">
        <f aca="false">IFERROR(IF(OR($A19="",$B19=""),"",$D19*$B19),"")</f>
        <v/>
      </c>
    </row>
    <row r="20" customFormat="false" ht="15" hidden="false" customHeight="true" outlineLevel="0" collapsed="false">
      <c r="A20" s="59"/>
      <c r="B20" s="60"/>
      <c r="C20" s="68" t="str">
        <f aca="false">IFERROR(IF($A20="","",INDEX(Ingredients!$D$6:$D$47,MATCH($A20,Ingredients!$A$6:$A$47,0))),"")</f>
        <v/>
      </c>
      <c r="D20" s="69" t="str">
        <f aca="false">IFERROR(IF($A20="","",INDEX(Ingredients!$I$6:$I$47,MATCH($A20,Ingredients!$A$6:$A$47,0))),"")</f>
        <v/>
      </c>
      <c r="E20" s="70" t="str">
        <f aca="false">IFERROR(IF(OR($A20="",$B20=""),"",$D20*$B20),"")</f>
        <v/>
      </c>
    </row>
    <row r="21" customFormat="false" ht="15" hidden="false" customHeight="true" outlineLevel="0" collapsed="false">
      <c r="A21" s="59"/>
      <c r="B21" s="60"/>
      <c r="C21" s="68" t="str">
        <f aca="false">IFERROR(IF($A21="","",INDEX(Ingredients!$D$6:$D$47,MATCH($A21,Ingredients!$A$6:$A$47,0))),"")</f>
        <v/>
      </c>
      <c r="D21" s="69" t="str">
        <f aca="false">IFERROR(IF($A21="","",INDEX(Ingredients!$I$6:$I$47,MATCH($A21,Ingredients!$A$6:$A$47,0))),"")</f>
        <v/>
      </c>
      <c r="E21" s="70" t="str">
        <f aca="false">IFERROR(IF(OR($A21="",$B21=""),"",$D21*$B21),"")</f>
        <v/>
      </c>
    </row>
    <row r="22" customFormat="false" ht="15" hidden="false" customHeight="true" outlineLevel="0" collapsed="false">
      <c r="A22" s="59"/>
      <c r="B22" s="60"/>
      <c r="C22" s="68" t="str">
        <f aca="false">IFERROR(IF($A22="","",INDEX(Ingredients!$D$6:$D$47,MATCH($A22,Ingredients!$A$6:$A$47,0))),"")</f>
        <v/>
      </c>
      <c r="D22" s="69" t="str">
        <f aca="false">IFERROR(IF($A22="","",INDEX(Ingredients!$I$6:$I$47,MATCH($A22,Ingredients!$A$6:$A$47,0))),"")</f>
        <v/>
      </c>
      <c r="E22" s="70" t="str">
        <f aca="false">IFERROR(IF(OR($A22="",$B22=""),"",$D22*$B22),"")</f>
        <v/>
      </c>
    </row>
    <row r="23" customFormat="false" ht="15" hidden="false" customHeight="true" outlineLevel="0" collapsed="false">
      <c r="A23" s="59"/>
      <c r="B23" s="60"/>
      <c r="C23" s="68" t="str">
        <f aca="false">IFERROR(IF($A23="","",INDEX(Ingredients!$D$6:$D$47,MATCH($A23,Ingredients!$A$6:$A$47,0))),"")</f>
        <v/>
      </c>
      <c r="D23" s="69" t="str">
        <f aca="false">IFERROR(IF($A23="","",INDEX(Ingredients!$I$6:$I$47,MATCH($A23,Ingredients!$A$6:$A$47,0))),"")</f>
        <v/>
      </c>
      <c r="E23" s="70" t="str">
        <f aca="false">IFERROR(IF(OR($A23="",$B23=""),"",$D23*$B23),"")</f>
        <v/>
      </c>
    </row>
    <row r="24" customFormat="false" ht="15" hidden="false" customHeight="true" outlineLevel="0" collapsed="false">
      <c r="A24" s="71" t="s">
        <v>255</v>
      </c>
      <c r="B24" s="72"/>
      <c r="C24" s="72"/>
      <c r="D24" s="72"/>
      <c r="E24" s="73" t="n">
        <f aca="false">SUM($E$10:$E$23)</f>
        <v>0</v>
      </c>
      <c r="F24" s="72"/>
      <c r="G24" s="72"/>
    </row>
    <row r="25" customFormat="false" ht="17.25" hidden="false" customHeight="true" outlineLevel="0" collapsed="false">
      <c r="A25" s="74" t="s">
        <v>256</v>
      </c>
      <c r="B25" s="75"/>
      <c r="C25" s="75"/>
      <c r="D25" s="75"/>
      <c r="E25" s="78" t="n">
        <f aca="false">IFERROR(IF($B$7=0,"",$E$24/$B$7),"")</f>
        <v>0</v>
      </c>
      <c r="F25" s="75"/>
      <c r="G25" s="75"/>
    </row>
    <row r="27" customFormat="false" ht="15" hidden="false" customHeight="true" outlineLevel="0" collapsed="false">
      <c r="A27" s="79" t="s">
        <v>257</v>
      </c>
      <c r="B27" s="80"/>
      <c r="C27" s="80"/>
      <c r="D27" s="80"/>
      <c r="E27" s="81" t="n">
        <v>11</v>
      </c>
      <c r="F27" s="80"/>
      <c r="G27" s="82" t="s">
        <v>258</v>
      </c>
    </row>
    <row r="28" customFormat="false" ht="15" hidden="false" customHeight="true" outlineLevel="0" collapsed="false">
      <c r="A28" s="17" t="s">
        <v>259</v>
      </c>
      <c r="E28" s="83" t="n">
        <f aca="false">IFERROR($E$27/(1+Settings!$D$12),0)</f>
        <v>10.4761904761905</v>
      </c>
      <c r="G28" s="21" t="s">
        <v>260</v>
      </c>
    </row>
    <row r="29" customFormat="false" ht="15" hidden="false" customHeight="true" outlineLevel="0" collapsed="false">
      <c r="A29" s="17" t="s">
        <v>261</v>
      </c>
      <c r="E29" s="84" t="n">
        <f aca="false">IFERROR($E$25,0)</f>
        <v>0</v>
      </c>
      <c r="F29" s="85" t="n">
        <f aca="false">IFERROR($E$29/$E$28,0)</f>
        <v>0</v>
      </c>
    </row>
    <row r="30" customFormat="false" ht="15.75" hidden="false" customHeight="true" outlineLevel="0" collapsed="false">
      <c r="A30" s="74" t="s">
        <v>262</v>
      </c>
      <c r="B30" s="75"/>
      <c r="C30" s="75"/>
      <c r="D30" s="75"/>
      <c r="E30" s="86" t="n">
        <f aca="false">IFERROR($E$28-$E$29,0)</f>
        <v>10.4761904761905</v>
      </c>
      <c r="F30" s="87" t="n">
        <f aca="false">IFERROR($E$30/$E$28,0)</f>
        <v>1</v>
      </c>
      <c r="G30" s="88" t="str">
        <f aca="false">IF($E$28=0,"",IF($F$30&gt;=IF($B$8="Coffee &amp; Tea",Settings!$B$19,IF($B$8="Juice &amp; Smoothie",Settings!$B$20,Settings!$B$18)),"On target  -  target "&amp;TEXT(IF($B$8="Coffee &amp; Tea",Settings!$B$19,IF($B$8="Juice &amp; Smoothie",Settings!$B$20,Settings!$B$18)),"0%"),"BELOW TARGET  -  target "&amp;TEXT(IF($B$8="Coffee &amp; Tea",Settings!$B$19,IF($B$8="Juice &amp; Smoothie",Settings!$B$20,Settings!$B$18)),"0%")))</f>
        <v>On target  -  target 80%</v>
      </c>
    </row>
    <row r="32" customFormat="false" ht="15" hidden="false" customHeight="true" outlineLevel="0" collapsed="false">
      <c r="A32" s="15" t="s">
        <v>283</v>
      </c>
      <c r="B32" s="8"/>
      <c r="C32" s="8"/>
      <c r="D32" s="8"/>
      <c r="E32" s="8"/>
      <c r="F32" s="8"/>
      <c r="G32" s="8"/>
    </row>
    <row r="33" customFormat="false" ht="15" hidden="false" customHeight="true" outlineLevel="0" collapsed="false">
      <c r="A33" s="19" t="s">
        <v>246</v>
      </c>
      <c r="B33" s="20" t="s">
        <v>284</v>
      </c>
      <c r="C33" s="20"/>
      <c r="D33" s="20"/>
    </row>
    <row r="34" customFormat="false" ht="15" hidden="false" customHeight="true" outlineLevel="0" collapsed="false">
      <c r="A34" s="17" t="s">
        <v>248</v>
      </c>
      <c r="B34" s="67" t="n">
        <v>1</v>
      </c>
      <c r="G34" s="21" t="s">
        <v>249</v>
      </c>
    </row>
    <row r="35" customFormat="false" ht="15" hidden="false" customHeight="true" outlineLevel="0" collapsed="false">
      <c r="A35" s="17" t="s">
        <v>136</v>
      </c>
      <c r="B35" s="18" t="s">
        <v>280</v>
      </c>
      <c r="G35" s="21" t="s">
        <v>251</v>
      </c>
    </row>
    <row r="36" customFormat="false" ht="19.5" hidden="false" customHeight="true" outlineLevel="0" collapsed="false">
      <c r="A36" s="33" t="s">
        <v>252</v>
      </c>
      <c r="B36" s="34" t="s">
        <v>227</v>
      </c>
      <c r="C36" s="34" t="s">
        <v>160</v>
      </c>
      <c r="D36" s="34" t="s">
        <v>228</v>
      </c>
      <c r="E36" s="34" t="s">
        <v>229</v>
      </c>
      <c r="F36" s="34"/>
      <c r="G36" s="34"/>
    </row>
    <row r="37" customFormat="false" ht="15" hidden="false" customHeight="true" outlineLevel="0" collapsed="false">
      <c r="A37" s="59" t="s">
        <v>281</v>
      </c>
      <c r="B37" s="60" t="n">
        <v>18</v>
      </c>
      <c r="C37" s="68" t="str">
        <f aca="false">IFERROR(IF($A37="","",INDEX(Ingredients!$D$6:$D$47,MATCH($A37,Ingredients!$A$6:$A$47,0))),"")</f>
        <v/>
      </c>
      <c r="D37" s="69" t="str">
        <f aca="false">IFERROR(IF($A37="","",INDEX(Ingredients!$I$6:$I$47,MATCH($A37,Ingredients!$A$6:$A$47,0))),"")</f>
        <v/>
      </c>
      <c r="E37" s="70" t="str">
        <f aca="false">IFERROR(IF(OR($A37="",$B37=""),"",$D37*$B37),"")</f>
        <v/>
      </c>
    </row>
    <row r="38" customFormat="false" ht="15" hidden="false" customHeight="true" outlineLevel="0" collapsed="false">
      <c r="A38" s="59" t="s">
        <v>282</v>
      </c>
      <c r="B38" s="60" t="n">
        <v>1</v>
      </c>
      <c r="C38" s="68" t="str">
        <f aca="false">IFERROR(IF($A38="","",INDEX(Ingredients!$D$6:$D$47,MATCH($A38,Ingredients!$A$6:$A$47,0))),"")</f>
        <v/>
      </c>
      <c r="D38" s="69" t="str">
        <f aca="false">IFERROR(IF($A38="","",INDEX(Ingredients!$I$6:$I$47,MATCH($A38,Ingredients!$A$6:$A$47,0))),"")</f>
        <v/>
      </c>
      <c r="E38" s="70" t="str">
        <f aca="false">IFERROR(IF(OR($A38="",$B38=""),"",$D38*$B38),"")</f>
        <v/>
      </c>
    </row>
    <row r="39" customFormat="false" ht="15" hidden="false" customHeight="true" outlineLevel="0" collapsed="false">
      <c r="A39" s="59"/>
      <c r="B39" s="60"/>
      <c r="C39" s="68" t="str">
        <f aca="false">IFERROR(IF($A39="","",INDEX(Ingredients!$D$6:$D$47,MATCH($A39,Ingredients!$A$6:$A$47,0))),"")</f>
        <v/>
      </c>
      <c r="D39" s="69" t="str">
        <f aca="false">IFERROR(IF($A39="","",INDEX(Ingredients!$I$6:$I$47,MATCH($A39,Ingredients!$A$6:$A$47,0))),"")</f>
        <v/>
      </c>
      <c r="E39" s="70" t="str">
        <f aca="false">IFERROR(IF(OR($A39="",$B39=""),"",$D39*$B39),"")</f>
        <v/>
      </c>
    </row>
    <row r="40" customFormat="false" ht="15" hidden="false" customHeight="true" outlineLevel="0" collapsed="false">
      <c r="A40" s="59"/>
      <c r="B40" s="60"/>
      <c r="C40" s="68" t="str">
        <f aca="false">IFERROR(IF($A40="","",INDEX(Ingredients!$D$6:$D$47,MATCH($A40,Ingredients!$A$6:$A$47,0))),"")</f>
        <v/>
      </c>
      <c r="D40" s="69" t="str">
        <f aca="false">IFERROR(IF($A40="","",INDEX(Ingredients!$I$6:$I$47,MATCH($A40,Ingredients!$A$6:$A$47,0))),"")</f>
        <v/>
      </c>
      <c r="E40" s="70" t="str">
        <f aca="false">IFERROR(IF(OR($A40="",$B40=""),"",$D40*$B40),"")</f>
        <v/>
      </c>
    </row>
    <row r="41" customFormat="false" ht="15" hidden="false" customHeight="true" outlineLevel="0" collapsed="false">
      <c r="A41" s="59"/>
      <c r="B41" s="60"/>
      <c r="C41" s="68" t="str">
        <f aca="false">IFERROR(IF($A41="","",INDEX(Ingredients!$D$6:$D$47,MATCH($A41,Ingredients!$A$6:$A$47,0))),"")</f>
        <v/>
      </c>
      <c r="D41" s="69" t="str">
        <f aca="false">IFERROR(IF($A41="","",INDEX(Ingredients!$I$6:$I$47,MATCH($A41,Ingredients!$A$6:$A$47,0))),"")</f>
        <v/>
      </c>
      <c r="E41" s="70" t="str">
        <f aca="false">IFERROR(IF(OR($A41="",$B41=""),"",$D41*$B41),"")</f>
        <v/>
      </c>
    </row>
    <row r="42" customFormat="false" ht="15" hidden="false" customHeight="true" outlineLevel="0" collapsed="false">
      <c r="A42" s="59"/>
      <c r="B42" s="60"/>
      <c r="C42" s="68" t="str">
        <f aca="false">IFERROR(IF($A42="","",INDEX(Ingredients!$D$6:$D$47,MATCH($A42,Ingredients!$A$6:$A$47,0))),"")</f>
        <v/>
      </c>
      <c r="D42" s="69" t="str">
        <f aca="false">IFERROR(IF($A42="","",INDEX(Ingredients!$I$6:$I$47,MATCH($A42,Ingredients!$A$6:$A$47,0))),"")</f>
        <v/>
      </c>
      <c r="E42" s="70" t="str">
        <f aca="false">IFERROR(IF(OR($A42="",$B42=""),"",$D42*$B42),"")</f>
        <v/>
      </c>
    </row>
    <row r="43" customFormat="false" ht="15" hidden="false" customHeight="true" outlineLevel="0" collapsed="false">
      <c r="A43" s="59"/>
      <c r="B43" s="60"/>
      <c r="C43" s="68" t="str">
        <f aca="false">IFERROR(IF($A43="","",INDEX(Ingredients!$D$6:$D$47,MATCH($A43,Ingredients!$A$6:$A$47,0))),"")</f>
        <v/>
      </c>
      <c r="D43" s="69" t="str">
        <f aca="false">IFERROR(IF($A43="","",INDEX(Ingredients!$I$6:$I$47,MATCH($A43,Ingredients!$A$6:$A$47,0))),"")</f>
        <v/>
      </c>
      <c r="E43" s="70" t="str">
        <f aca="false">IFERROR(IF(OR($A43="",$B43=""),"",$D43*$B43),"")</f>
        <v/>
      </c>
    </row>
    <row r="44" customFormat="false" ht="15" hidden="false" customHeight="true" outlineLevel="0" collapsed="false">
      <c r="A44" s="59"/>
      <c r="B44" s="60"/>
      <c r="C44" s="68" t="str">
        <f aca="false">IFERROR(IF($A44="","",INDEX(Ingredients!$D$6:$D$47,MATCH($A44,Ingredients!$A$6:$A$47,0))),"")</f>
        <v/>
      </c>
      <c r="D44" s="69" t="str">
        <f aca="false">IFERROR(IF($A44="","",INDEX(Ingredients!$I$6:$I$47,MATCH($A44,Ingredients!$A$6:$A$47,0))),"")</f>
        <v/>
      </c>
      <c r="E44" s="70" t="str">
        <f aca="false">IFERROR(IF(OR($A44="",$B44=""),"",$D44*$B44),"")</f>
        <v/>
      </c>
    </row>
    <row r="45" customFormat="false" ht="15" hidden="false" customHeight="true" outlineLevel="0" collapsed="false">
      <c r="A45" s="59"/>
      <c r="B45" s="60"/>
      <c r="C45" s="68" t="str">
        <f aca="false">IFERROR(IF($A45="","",INDEX(Ingredients!$D$6:$D$47,MATCH($A45,Ingredients!$A$6:$A$47,0))),"")</f>
        <v/>
      </c>
      <c r="D45" s="69" t="str">
        <f aca="false">IFERROR(IF($A45="","",INDEX(Ingredients!$I$6:$I$47,MATCH($A45,Ingredients!$A$6:$A$47,0))),"")</f>
        <v/>
      </c>
      <c r="E45" s="70" t="str">
        <f aca="false">IFERROR(IF(OR($A45="",$B45=""),"",$D45*$B45),"")</f>
        <v/>
      </c>
    </row>
    <row r="46" customFormat="false" ht="15" hidden="false" customHeight="true" outlineLevel="0" collapsed="false">
      <c r="A46" s="59"/>
      <c r="B46" s="60"/>
      <c r="C46" s="68" t="str">
        <f aca="false">IFERROR(IF($A46="","",INDEX(Ingredients!$D$6:$D$47,MATCH($A46,Ingredients!$A$6:$A$47,0))),"")</f>
        <v/>
      </c>
      <c r="D46" s="69" t="str">
        <f aca="false">IFERROR(IF($A46="","",INDEX(Ingredients!$I$6:$I$47,MATCH($A46,Ingredients!$A$6:$A$47,0))),"")</f>
        <v/>
      </c>
      <c r="E46" s="70" t="str">
        <f aca="false">IFERROR(IF(OR($A46="",$B46=""),"",$D46*$B46),"")</f>
        <v/>
      </c>
    </row>
    <row r="47" customFormat="false" ht="15" hidden="false" customHeight="true" outlineLevel="0" collapsed="false">
      <c r="A47" s="59"/>
      <c r="B47" s="60"/>
      <c r="C47" s="68" t="str">
        <f aca="false">IFERROR(IF($A47="","",INDEX(Ingredients!$D$6:$D$47,MATCH($A47,Ingredients!$A$6:$A$47,0))),"")</f>
        <v/>
      </c>
      <c r="D47" s="69" t="str">
        <f aca="false">IFERROR(IF($A47="","",INDEX(Ingredients!$I$6:$I$47,MATCH($A47,Ingredients!$A$6:$A$47,0))),"")</f>
        <v/>
      </c>
      <c r="E47" s="70" t="str">
        <f aca="false">IFERROR(IF(OR($A47="",$B47=""),"",$D47*$B47),"")</f>
        <v/>
      </c>
    </row>
    <row r="48" customFormat="false" ht="15" hidden="false" customHeight="true" outlineLevel="0" collapsed="false">
      <c r="A48" s="59"/>
      <c r="B48" s="60"/>
      <c r="C48" s="68" t="str">
        <f aca="false">IFERROR(IF($A48="","",INDEX(Ingredients!$D$6:$D$47,MATCH($A48,Ingredients!$A$6:$A$47,0))),"")</f>
        <v/>
      </c>
      <c r="D48" s="69" t="str">
        <f aca="false">IFERROR(IF($A48="","",INDEX(Ingredients!$I$6:$I$47,MATCH($A48,Ingredients!$A$6:$A$47,0))),"")</f>
        <v/>
      </c>
      <c r="E48" s="70" t="str">
        <f aca="false">IFERROR(IF(OR($A48="",$B48=""),"",$D48*$B48),"")</f>
        <v/>
      </c>
    </row>
    <row r="49" customFormat="false" ht="15" hidden="false" customHeight="true" outlineLevel="0" collapsed="false">
      <c r="A49" s="59"/>
      <c r="B49" s="60"/>
      <c r="C49" s="68" t="str">
        <f aca="false">IFERROR(IF($A49="","",INDEX(Ingredients!$D$6:$D$47,MATCH($A49,Ingredients!$A$6:$A$47,0))),"")</f>
        <v/>
      </c>
      <c r="D49" s="69" t="str">
        <f aca="false">IFERROR(IF($A49="","",INDEX(Ingredients!$I$6:$I$47,MATCH($A49,Ingredients!$A$6:$A$47,0))),"")</f>
        <v/>
      </c>
      <c r="E49" s="70" t="str">
        <f aca="false">IFERROR(IF(OR($A49="",$B49=""),"",$D49*$B49),"")</f>
        <v/>
      </c>
    </row>
    <row r="50" customFormat="false" ht="15" hidden="false" customHeight="true" outlineLevel="0" collapsed="false">
      <c r="A50" s="59"/>
      <c r="B50" s="60"/>
      <c r="C50" s="68" t="str">
        <f aca="false">IFERROR(IF($A50="","",INDEX(Ingredients!$D$6:$D$47,MATCH($A50,Ingredients!$A$6:$A$47,0))),"")</f>
        <v/>
      </c>
      <c r="D50" s="69" t="str">
        <f aca="false">IFERROR(IF($A50="","",INDEX(Ingredients!$I$6:$I$47,MATCH($A50,Ingredients!$A$6:$A$47,0))),"")</f>
        <v/>
      </c>
      <c r="E50" s="70" t="str">
        <f aca="false">IFERROR(IF(OR($A50="",$B50=""),"",$D50*$B50),"")</f>
        <v/>
      </c>
    </row>
    <row r="51" customFormat="false" ht="15" hidden="false" customHeight="true" outlineLevel="0" collapsed="false">
      <c r="A51" s="71" t="s">
        <v>255</v>
      </c>
      <c r="B51" s="72"/>
      <c r="C51" s="72"/>
      <c r="D51" s="72"/>
      <c r="E51" s="73" t="n">
        <f aca="false">SUM($E$37:$E$50)</f>
        <v>0</v>
      </c>
      <c r="F51" s="72"/>
      <c r="G51" s="72"/>
    </row>
    <row r="52" customFormat="false" ht="17.25" hidden="false" customHeight="true" outlineLevel="0" collapsed="false">
      <c r="A52" s="74" t="s">
        <v>256</v>
      </c>
      <c r="B52" s="75"/>
      <c r="C52" s="75"/>
      <c r="D52" s="75"/>
      <c r="E52" s="78" t="n">
        <f aca="false">IFERROR(IF($B$34=0,"",$E$51/$B$34),"")</f>
        <v>0</v>
      </c>
      <c r="F52" s="75"/>
      <c r="G52" s="75"/>
    </row>
    <row r="54" customFormat="false" ht="15" hidden="false" customHeight="true" outlineLevel="0" collapsed="false">
      <c r="A54" s="79" t="s">
        <v>257</v>
      </c>
      <c r="B54" s="80"/>
      <c r="C54" s="80"/>
      <c r="D54" s="80"/>
      <c r="E54" s="81" t="n">
        <v>13</v>
      </c>
      <c r="F54" s="80"/>
      <c r="G54" s="82" t="s">
        <v>258</v>
      </c>
    </row>
    <row r="55" customFormat="false" ht="15" hidden="false" customHeight="true" outlineLevel="0" collapsed="false">
      <c r="A55" s="17" t="s">
        <v>259</v>
      </c>
      <c r="E55" s="83" t="n">
        <f aca="false">IFERROR($E$54/(1+Settings!$D$12),0)</f>
        <v>12.3809523809524</v>
      </c>
      <c r="G55" s="21" t="s">
        <v>260</v>
      </c>
    </row>
    <row r="56" customFormat="false" ht="15" hidden="false" customHeight="true" outlineLevel="0" collapsed="false">
      <c r="A56" s="17" t="s">
        <v>261</v>
      </c>
      <c r="E56" s="84" t="n">
        <f aca="false">IFERROR($E$52,0)</f>
        <v>0</v>
      </c>
      <c r="F56" s="85" t="n">
        <f aca="false">IFERROR($E$56/$E$55,0)</f>
        <v>0</v>
      </c>
    </row>
    <row r="57" customFormat="false" ht="15.75" hidden="false" customHeight="true" outlineLevel="0" collapsed="false">
      <c r="A57" s="74" t="s">
        <v>262</v>
      </c>
      <c r="B57" s="75"/>
      <c r="C57" s="75"/>
      <c r="D57" s="75"/>
      <c r="E57" s="86" t="n">
        <f aca="false">IFERROR($E$55-$E$56,0)</f>
        <v>12.3809523809524</v>
      </c>
      <c r="F57" s="87" t="n">
        <f aca="false">IFERROR($E$57/$E$55,0)</f>
        <v>1</v>
      </c>
      <c r="G57" s="88" t="str">
        <f aca="false">IF($E$55=0,"",IF($F$57&gt;=IF($B$35="Coffee &amp; Tea",Settings!$B$19,IF($B$35="Juice &amp; Smoothie",Settings!$B$20,Settings!$B$18)),"On target  -  target "&amp;TEXT(IF($B$35="Coffee &amp; Tea",Settings!$B$19,IF($B$35="Juice &amp; Smoothie",Settings!$B$20,Settings!$B$18)),"0%"),"BELOW TARGET  -  target "&amp;TEXT(IF($B$35="Coffee &amp; Tea",Settings!$B$19,IF($B$35="Juice &amp; Smoothie",Settings!$B$20,Settings!$B$18)),"0%")))</f>
        <v>On target  -  target 80%</v>
      </c>
    </row>
  </sheetData>
  <sheetProtection sheet="true" password="b7e1" objects="true" scenarios="true" formatCells="false" formatColumns="false" formatRows="false" sort="false" autoFilter="false"/>
  <mergeCells count="3">
    <mergeCell ref="A3:G3"/>
    <mergeCell ref="B6:D6"/>
    <mergeCell ref="B33:D33"/>
  </mergeCells>
  <conditionalFormatting sqref="G30">
    <cfRule type="expression" priority="2" aboveAverage="0" equalAverage="0" bottom="0" percent="0" rank="0" text="" dxfId="0">
      <formula>ISNUMBER(SEARCH("On target",$G$30))</formula>
    </cfRule>
    <cfRule type="expression" priority="3" aboveAverage="0" equalAverage="0" bottom="0" percent="0" rank="0" text="" dxfId="1">
      <formula>ISNUMBER(SEARCH("BELOW",$G$30))</formula>
    </cfRule>
  </conditionalFormatting>
  <conditionalFormatting sqref="G57">
    <cfRule type="expression" priority="4" aboveAverage="0" equalAverage="0" bottom="0" percent="0" rank="0" text="" dxfId="0">
      <formula>ISNUMBER(SEARCH("On target",$G$57))</formula>
    </cfRule>
    <cfRule type="expression" priority="5" aboveAverage="0" equalAverage="0" bottom="0" percent="0" rank="0" text="" dxfId="1">
      <formula>ISNUMBER(SEARCH("BELOW",$G$57))</formula>
    </cfRule>
  </conditionalFormatting>
  <dataValidations count="2">
    <dataValidation allowBlank="true" errorStyle="stop" operator="between" showDropDown="false" showErrorMessage="false" showInputMessage="false" sqref="A10:A23 A37:A50" type="list">
      <formula1>IngredientList</formula1>
      <formula2>0</formula2>
    </dataValidation>
    <dataValidation allowBlank="false" errorStyle="stop" operator="between" showDropDown="false" showErrorMessage="false" showInputMessage="false" sqref="B8 B35" type="list">
      <formula1>"Food,Coffee &amp; Tea,Juice &amp; Smoothie"</formula1>
      <formula2>0</formula2>
    </dataValidation>
  </dataValidations>
  <printOptions headings="false" gridLines="false" gridLinesSet="true" horizontalCentered="false" verticalCentered="false"/>
  <pageMargins left="0.4" right="0.4" top="0.5" bottom="0.5"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&amp;L&amp;8 &amp;K6b6157Back of House - Recipes and Costing&amp;R&amp;8 &amp;K6b6157backofhouseco.com</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L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4" ySplit="6" topLeftCell="E7" activePane="bottomRight" state="frozen"/>
      <selection pane="topLeft" activeCell="A1" activeCellId="0" sqref="A1"/>
      <selection pane="topRight" activeCell="E1" activeCellId="0" sqref="E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1" width="30"/>
    <col collapsed="false" customWidth="true" hidden="false" outlineLevel="0" max="2" min="2" style="1" width="17"/>
    <col collapsed="false" customWidth="true" hidden="false" outlineLevel="0" max="5" min="3" style="1" width="12"/>
    <col collapsed="false" customWidth="true" hidden="false" outlineLevel="0" max="7" min="6" style="1" width="11"/>
    <col collapsed="false" customWidth="true" hidden="false" outlineLevel="0" max="8" min="8" style="1" width="9"/>
    <col collapsed="false" customWidth="true" hidden="false" outlineLevel="0" max="9" min="9" style="1" width="10"/>
    <col collapsed="false" customWidth="true" hidden="false" outlineLevel="0" max="10" min="10" style="1" width="9"/>
    <col collapsed="false" customWidth="true" hidden="false" outlineLevel="0" max="11" min="11" style="1" width="10"/>
    <col collapsed="false" customWidth="true" hidden="false" outlineLevel="0" max="12" min="12" style="1" width="9"/>
  </cols>
  <sheetData>
    <row r="1" customFormat="false" ht="18" hidden="false" customHeight="true" outlineLevel="0" collapsed="false">
      <c r="A1" s="12" t="s">
        <v>28</v>
      </c>
    </row>
    <row r="2" customFormat="false" ht="15" hidden="false" customHeight="true" outlineLevel="0" collapsed="false">
      <c r="A2" s="37" t="str">
        <f aca="false">" Every price typed the way the customer sees it - INCLUDING VAT - with the whole sum shown beside it. EXCLUDING VAT figures and margins in "&amp;Settings!$D$11&amp;"."</f>
        <v> Every price typed the way the customer sees it - INCLUDING VAT - with the whole sum shown beside it. EXCLUDING VAT figures and margins in AED.</v>
      </c>
    </row>
    <row r="3" customFormat="false" ht="30" hidden="false" customHeight="true" outlineLevel="0" collapsed="false">
      <c r="A3" s="13" t="s">
        <v>285</v>
      </c>
      <c r="B3" s="13"/>
      <c r="C3" s="13"/>
      <c r="D3" s="13"/>
      <c r="E3" s="13"/>
      <c r="F3" s="13"/>
      <c r="G3" s="13"/>
      <c r="H3" s="13"/>
      <c r="I3" s="13"/>
      <c r="J3" s="13"/>
      <c r="K3" s="13"/>
      <c r="L3" s="13"/>
    </row>
    <row r="4" customFormat="false" ht="15" hidden="false" customHeight="true" outlineLevel="0" collapsed="false">
      <c r="A4" s="13" t="s">
        <v>286</v>
      </c>
      <c r="B4" s="13"/>
      <c r="C4" s="13"/>
      <c r="D4" s="13"/>
      <c r="E4" s="13"/>
      <c r="F4" s="13"/>
      <c r="G4" s="13"/>
      <c r="H4" s="13"/>
      <c r="I4" s="13"/>
      <c r="J4" s="13"/>
      <c r="K4" s="13"/>
      <c r="L4" s="13"/>
    </row>
    <row r="5" customFormat="false" ht="15" hidden="false" customHeight="true" outlineLevel="0" collapsed="false">
      <c r="C5" s="89" t="s">
        <v>287</v>
      </c>
      <c r="E5" s="90" t="str">
        <f aca="false">Settings!$B$25&amp;"   ("&amp;TEXT(Settings!$C$25,"0%")&amp;" commission)"</f>
        <v>Talabat   (27% commission)</v>
      </c>
      <c r="F5" s="90"/>
      <c r="G5" s="90"/>
      <c r="H5" s="90"/>
      <c r="I5" s="90"/>
      <c r="J5" s="90"/>
      <c r="K5" s="90"/>
      <c r="L5" s="90"/>
    </row>
    <row r="6" customFormat="false" ht="30" hidden="false" customHeight="true" outlineLevel="0" collapsed="false">
      <c r="A6" s="33" t="s">
        <v>135</v>
      </c>
      <c r="B6" s="34" t="s">
        <v>136</v>
      </c>
      <c r="C6" s="34" t="s">
        <v>288</v>
      </c>
      <c r="D6" s="34" t="s">
        <v>289</v>
      </c>
      <c r="E6" s="34" t="s">
        <v>138</v>
      </c>
      <c r="F6" s="34" t="s">
        <v>139</v>
      </c>
      <c r="G6" s="34" t="s">
        <v>290</v>
      </c>
      <c r="H6" s="34" t="s">
        <v>291</v>
      </c>
      <c r="I6" s="34" t="s">
        <v>292</v>
      </c>
      <c r="J6" s="34" t="s">
        <v>291</v>
      </c>
      <c r="K6" s="34" t="s">
        <v>293</v>
      </c>
      <c r="L6" s="34" t="s">
        <v>294</v>
      </c>
    </row>
    <row r="7" customFormat="false" ht="15" hidden="false" customHeight="true" outlineLevel="0" collapsed="false">
      <c r="A7" s="68" t="str">
        <f aca="false">'Recipes - Core'!$B$6</f>
        <v>Halloumi and Zaatar Sandwich</v>
      </c>
      <c r="B7" s="91" t="str">
        <f aca="false">'Recipes - Core'!$B$8</f>
        <v>Food</v>
      </c>
      <c r="C7" s="92" t="n">
        <f aca="false">'Recipes - Core'!$E$25</f>
        <v>6.45804347826087</v>
      </c>
      <c r="D7" s="61" t="n">
        <v>1.2</v>
      </c>
      <c r="E7" s="61" t="n">
        <v>30</v>
      </c>
      <c r="F7" s="93" t="n">
        <f aca="false">IFERROR($E7/(1+Settings!$D$12),0)</f>
        <v>28.5714285714286</v>
      </c>
      <c r="G7" s="94" t="n">
        <f aca="false">IFERROR($F7*Settings!$C$25,0)</f>
        <v>7.71428571428571</v>
      </c>
      <c r="H7" s="95" t="n">
        <f aca="false">IFERROR($G7/$F7,0)</f>
        <v>0.27</v>
      </c>
      <c r="I7" s="93" t="n">
        <f aca="false">IFERROR($C7+$D7+Settings!$B$31,0)</f>
        <v>8.85804347826087</v>
      </c>
      <c r="J7" s="96" t="n">
        <f aca="false">IFERROR($I7/$F7,0)</f>
        <v>0.31003152173913</v>
      </c>
      <c r="K7" s="97" t="n">
        <f aca="false">IFERROR($F7-$G7-$I7,0)</f>
        <v>11.999099378882</v>
      </c>
      <c r="L7" s="98" t="n">
        <f aca="false">IFERROR($K7/$F7,0)</f>
        <v>0.419968478260869</v>
      </c>
    </row>
    <row r="8" customFormat="false" ht="15" hidden="false" customHeight="true" outlineLevel="0" collapsed="false">
      <c r="A8" s="68" t="str">
        <f aca="false">'Recipes - Core'!$B$33</f>
        <v>Chicken Avocado Sandwich</v>
      </c>
      <c r="B8" s="91" t="str">
        <f aca="false">'Recipes - Core'!$B$35</f>
        <v>Food</v>
      </c>
      <c r="C8" s="92" t="n">
        <f aca="false">'Recipes - Core'!$E$52</f>
        <v>10.614406245928</v>
      </c>
      <c r="D8" s="61" t="n">
        <v>1.2</v>
      </c>
      <c r="E8" s="61" t="n">
        <v>38</v>
      </c>
      <c r="F8" s="93" t="n">
        <f aca="false">IFERROR($E8/(1+Settings!$D$12),0)</f>
        <v>36.1904761904762</v>
      </c>
      <c r="G8" s="94" t="n">
        <f aca="false">IFERROR($F8*Settings!$C$25,0)</f>
        <v>9.77142857142857</v>
      </c>
      <c r="H8" s="95" t="n">
        <f aca="false">IFERROR($G8/$F8,0)</f>
        <v>0.27</v>
      </c>
      <c r="I8" s="93" t="n">
        <f aca="false">IFERROR($C8+$D8+Settings!$B$31,0)</f>
        <v>13.014406245928</v>
      </c>
      <c r="J8" s="96" t="n">
        <f aca="false">IFERROR($I8/$F8,0)</f>
        <v>0.359608593637484</v>
      </c>
      <c r="K8" s="97" t="n">
        <f aca="false">IFERROR($F8-$G8-$I8,0)</f>
        <v>13.4046413731196</v>
      </c>
      <c r="L8" s="98" t="n">
        <f aca="false">IFERROR($K8/$F8,0)</f>
        <v>0.370391406362516</v>
      </c>
    </row>
    <row r="9" customFormat="false" ht="15" hidden="false" customHeight="true" outlineLevel="0" collapsed="false">
      <c r="A9" s="68" t="str">
        <f aca="false">'Recipes - Core'!$B$60</f>
        <v>Smoked Turkey Club</v>
      </c>
      <c r="B9" s="91" t="str">
        <f aca="false">'Recipes - Core'!$B$62</f>
        <v>Food</v>
      </c>
      <c r="C9" s="92" t="n">
        <f aca="false">'Recipes - Core'!$E$79</f>
        <v>11.6114437012263</v>
      </c>
      <c r="D9" s="61" t="n">
        <v>1.2</v>
      </c>
      <c r="E9" s="61" t="n">
        <v>42</v>
      </c>
      <c r="F9" s="93" t="n">
        <f aca="false">IFERROR($E9/(1+Settings!$D$12),0)</f>
        <v>40</v>
      </c>
      <c r="G9" s="94" t="n">
        <f aca="false">IFERROR($F9*Settings!$C$25,0)</f>
        <v>10.8</v>
      </c>
      <c r="H9" s="95" t="n">
        <f aca="false">IFERROR($G9/$F9,0)</f>
        <v>0.27</v>
      </c>
      <c r="I9" s="93" t="n">
        <f aca="false">IFERROR($C9+$D9+Settings!$B$31,0)</f>
        <v>14.0114437012263</v>
      </c>
      <c r="J9" s="96" t="n">
        <f aca="false">IFERROR($I9/$F9,0)</f>
        <v>0.350286092530658</v>
      </c>
      <c r="K9" s="97" t="n">
        <f aca="false">IFERROR($F9-$G9-$I9,0)</f>
        <v>15.1885562987737</v>
      </c>
      <c r="L9" s="98" t="n">
        <f aca="false">IFERROR($K9/$F9,0)</f>
        <v>0.379713907469342</v>
      </c>
    </row>
    <row r="10" customFormat="false" ht="15" hidden="false" customHeight="true" outlineLevel="0" collapsed="false">
      <c r="A10" s="68" t="str">
        <f aca="false">'Recipes - Core'!$B$87</f>
        <v>Labneh and Cucumber Croissant</v>
      </c>
      <c r="B10" s="91" t="str">
        <f aca="false">'Recipes - Core'!$B$89</f>
        <v>Food</v>
      </c>
      <c r="C10" s="92" t="n">
        <f aca="false">'Recipes - Core'!$E$106</f>
        <v>4.56263157894737</v>
      </c>
      <c r="D10" s="61" t="n">
        <v>1.2</v>
      </c>
      <c r="E10" s="61" t="n">
        <v>28</v>
      </c>
      <c r="F10" s="93" t="n">
        <f aca="false">IFERROR($E10/(1+Settings!$D$12),0)</f>
        <v>26.6666666666667</v>
      </c>
      <c r="G10" s="94" t="n">
        <f aca="false">IFERROR($F10*Settings!$C$25,0)</f>
        <v>7.2</v>
      </c>
      <c r="H10" s="95" t="n">
        <f aca="false">IFERROR($G10/$F10,0)</f>
        <v>0.27</v>
      </c>
      <c r="I10" s="93" t="n">
        <f aca="false">IFERROR($C10+$D10+Settings!$B$31,0)</f>
        <v>6.96263157894737</v>
      </c>
      <c r="J10" s="96" t="n">
        <f aca="false">IFERROR($I10/$F10,0)</f>
        <v>0.261098684210526</v>
      </c>
      <c r="K10" s="97" t="n">
        <f aca="false">IFERROR($F10-$G10-$I10,0)</f>
        <v>12.5040350877193</v>
      </c>
      <c r="L10" s="98" t="n">
        <f aca="false">IFERROR($K10/$F10,0)</f>
        <v>0.468901315789474</v>
      </c>
    </row>
    <row r="11" customFormat="false" ht="15" hidden="false" customHeight="true" outlineLevel="0" collapsed="false">
      <c r="A11" s="68" t="str">
        <f aca="false">'Recipes - Core'!$B$114</f>
        <v>Tuna Melt Sandwich</v>
      </c>
      <c r="B11" s="91" t="str">
        <f aca="false">'Recipes - Core'!$B$116</f>
        <v>Food</v>
      </c>
      <c r="C11" s="92" t="n">
        <f aca="false">'Recipes - Core'!$E$133</f>
        <v>10.9517567567568</v>
      </c>
      <c r="D11" s="61" t="n">
        <v>1.2</v>
      </c>
      <c r="E11" s="61" t="n">
        <v>35</v>
      </c>
      <c r="F11" s="93" t="n">
        <f aca="false">IFERROR($E11/(1+Settings!$D$12),0)</f>
        <v>33.3333333333333</v>
      </c>
      <c r="G11" s="94" t="n">
        <f aca="false">IFERROR($F11*Settings!$C$25,0)</f>
        <v>9</v>
      </c>
      <c r="H11" s="95" t="n">
        <f aca="false">IFERROR($G11/$F11,0)</f>
        <v>0.27</v>
      </c>
      <c r="I11" s="93" t="n">
        <f aca="false">IFERROR($C11+$D11+Settings!$B$31,0)</f>
        <v>13.3517567567568</v>
      </c>
      <c r="J11" s="96" t="n">
        <f aca="false">IFERROR($I11/$F11,0)</f>
        <v>0.400552702702703</v>
      </c>
      <c r="K11" s="97" t="n">
        <f aca="false">IFERROR($F11-$G11-$I11,0)</f>
        <v>10.9815765765766</v>
      </c>
      <c r="L11" s="98" t="n">
        <f aca="false">IFERROR($K11/$F11,0)</f>
        <v>0.329447297297297</v>
      </c>
    </row>
    <row r="12" customFormat="false" ht="15" hidden="false" customHeight="true" outlineLevel="0" collapsed="false">
      <c r="A12" s="68" t="str">
        <f aca="false">'Recipes - Sides'!$B$6</f>
        <v>French Fries</v>
      </c>
      <c r="B12" s="91" t="str">
        <f aca="false">'Recipes - Sides'!$B$8</f>
        <v>Food</v>
      </c>
      <c r="C12" s="92" t="n">
        <f aca="false">'Recipes - Sides'!$E$25</f>
        <v>0</v>
      </c>
      <c r="D12" s="61" t="n">
        <v>0.7</v>
      </c>
      <c r="E12" s="61" t="n">
        <v>20</v>
      </c>
      <c r="F12" s="93" t="n">
        <f aca="false">IFERROR($E12/(1+Settings!$D$12),0)</f>
        <v>19.047619047619</v>
      </c>
      <c r="G12" s="94" t="n">
        <f aca="false">IFERROR($F12*Settings!$C$25,0)</f>
        <v>5.14285714285714</v>
      </c>
      <c r="H12" s="95" t="n">
        <f aca="false">IFERROR($G12/$F12,0)</f>
        <v>0.27</v>
      </c>
      <c r="I12" s="93" t="n">
        <f aca="false">IFERROR($C12+$D12+Settings!$B$31,0)</f>
        <v>1.9</v>
      </c>
      <c r="J12" s="96" t="n">
        <f aca="false">IFERROR($I12/$F12,0)</f>
        <v>0.09975</v>
      </c>
      <c r="K12" s="97" t="n">
        <f aca="false">IFERROR($F12-$G12-$I12,0)</f>
        <v>12.0047619047619</v>
      </c>
      <c r="L12" s="98" t="n">
        <f aca="false">IFERROR($K12/$F12,0)</f>
        <v>0.63025</v>
      </c>
    </row>
    <row r="13" customFormat="false" ht="15" hidden="false" customHeight="true" outlineLevel="0" collapsed="false">
      <c r="A13" s="68" t="str">
        <f aca="false">'Recipes - Beverages'!$B$6</f>
        <v>Espresso</v>
      </c>
      <c r="B13" s="91" t="str">
        <f aca="false">'Recipes - Beverages'!$B$8</f>
        <v>Coffee &amp; Tea</v>
      </c>
      <c r="C13" s="92" t="n">
        <f aca="false">'Recipes - Beverages'!$E$25</f>
        <v>0</v>
      </c>
      <c r="D13" s="61" t="n">
        <v>0.65</v>
      </c>
      <c r="E13" s="61" t="n">
        <v>14</v>
      </c>
      <c r="F13" s="93" t="n">
        <f aca="false">IFERROR($E13/(1+Settings!$D$12),0)</f>
        <v>13.3333333333333</v>
      </c>
      <c r="G13" s="94" t="n">
        <f aca="false">IFERROR($F13*Settings!$C$25,0)</f>
        <v>3.6</v>
      </c>
      <c r="H13" s="95" t="n">
        <f aca="false">IFERROR($G13/$F13,0)</f>
        <v>0.27</v>
      </c>
      <c r="I13" s="93" t="n">
        <f aca="false">IFERROR($C13+$D13+Settings!$B$31,0)</f>
        <v>1.85</v>
      </c>
      <c r="J13" s="96" t="n">
        <f aca="false">IFERROR($I13/$F13,0)</f>
        <v>0.13875</v>
      </c>
      <c r="K13" s="97" t="n">
        <f aca="false">IFERROR($F13-$G13-$I13,0)</f>
        <v>7.88333333333333</v>
      </c>
      <c r="L13" s="98" t="n">
        <f aca="false">IFERROR($K13/$F13,0)</f>
        <v>0.59125</v>
      </c>
    </row>
    <row r="14" customFormat="false" ht="15" hidden="false" customHeight="true" outlineLevel="0" collapsed="false">
      <c r="A14" s="68" t="str">
        <f aca="false">'Recipes - Beverages'!$B$33</f>
        <v>Double Espresso</v>
      </c>
      <c r="B14" s="91" t="str">
        <f aca="false">'Recipes - Beverages'!$B$35</f>
        <v>Coffee &amp; Tea</v>
      </c>
      <c r="C14" s="92" t="n">
        <f aca="false">'Recipes - Beverages'!$E$52</f>
        <v>0</v>
      </c>
      <c r="D14" s="61" t="n">
        <v>0.65</v>
      </c>
      <c r="E14" s="61" t="n">
        <v>16</v>
      </c>
      <c r="F14" s="93" t="n">
        <f aca="false">IFERROR($E14/(1+Settings!$D$12),0)</f>
        <v>15.2380952380952</v>
      </c>
      <c r="G14" s="94" t="n">
        <f aca="false">IFERROR($F14*Settings!$C$25,0)</f>
        <v>4.11428571428572</v>
      </c>
      <c r="H14" s="95" t="n">
        <f aca="false">IFERROR($G14/$F14,0)</f>
        <v>0.27</v>
      </c>
      <c r="I14" s="93" t="n">
        <f aca="false">IFERROR($C14+$D14+Settings!$B$31,0)</f>
        <v>1.85</v>
      </c>
      <c r="J14" s="96" t="n">
        <f aca="false">IFERROR($I14/$F14,0)</f>
        <v>0.12140625</v>
      </c>
      <c r="K14" s="97" t="n">
        <f aca="false">IFERROR($F14-$G14-$I14,0)</f>
        <v>9.27380952380952</v>
      </c>
      <c r="L14" s="98" t="n">
        <f aca="false">IFERROR($K14/$F14,0)</f>
        <v>0.60859375</v>
      </c>
    </row>
    <row r="16" customFormat="false" ht="30" hidden="false" customHeight="true" outlineLevel="0" collapsed="false">
      <c r="A16" s="13" t="s">
        <v>295</v>
      </c>
      <c r="B16" s="13"/>
      <c r="C16" s="13"/>
      <c r="D16" s="13"/>
      <c r="E16" s="13"/>
      <c r="F16" s="13"/>
      <c r="G16" s="13"/>
      <c r="H16" s="13"/>
      <c r="I16" s="13"/>
      <c r="J16" s="13"/>
      <c r="K16" s="13"/>
      <c r="L16" s="13"/>
    </row>
    <row r="17" customFormat="false" ht="30" hidden="false" customHeight="true" outlineLevel="0" collapsed="false">
      <c r="A17" s="13" t="s">
        <v>296</v>
      </c>
      <c r="B17" s="13"/>
      <c r="C17" s="13"/>
      <c r="D17" s="13"/>
      <c r="E17" s="13"/>
      <c r="F17" s="13"/>
      <c r="G17" s="13"/>
      <c r="H17" s="13"/>
      <c r="I17" s="13"/>
      <c r="J17" s="13"/>
      <c r="K17" s="13"/>
      <c r="L17" s="13"/>
    </row>
    <row r="18" customFormat="false" ht="30" hidden="false" customHeight="true" outlineLevel="0" collapsed="false">
      <c r="A18" s="13" t="s">
        <v>297</v>
      </c>
      <c r="B18" s="13"/>
      <c r="C18" s="13"/>
      <c r="D18" s="13"/>
      <c r="E18" s="13"/>
      <c r="F18" s="13"/>
      <c r="G18" s="13"/>
      <c r="H18" s="13"/>
      <c r="I18" s="13"/>
      <c r="J18" s="13"/>
      <c r="K18" s="13"/>
      <c r="L18" s="13"/>
    </row>
  </sheetData>
  <sheetProtection sheet="true" password="b7e1" objects="true" scenarios="true" formatCells="false" formatColumns="false" formatRows="false" sort="false" autoFilter="false"/>
  <mergeCells count="6">
    <mergeCell ref="A3:L3"/>
    <mergeCell ref="A4:L4"/>
    <mergeCell ref="E5:L5"/>
    <mergeCell ref="A16:L16"/>
    <mergeCell ref="A17:L17"/>
    <mergeCell ref="A18:L18"/>
  </mergeCells>
  <conditionalFormatting sqref="K7:K14">
    <cfRule type="cellIs" priority="2" operator="lessThan" aboveAverage="0" equalAverage="0" bottom="0" percent="0" rank="0" text="" dxfId="1">
      <formula>0</formula>
    </cfRule>
  </conditionalFormatting>
  <conditionalFormatting sqref="L7:L14">
    <cfRule type="cellIs" priority="3" operator="lessThan" aboveAverage="0" equalAverage="0" bottom="0" percent="0" rank="0" text="" dxfId="1">
      <formula>0</formula>
    </cfRule>
  </conditionalFormatting>
  <printOptions headings="false" gridLines="false" gridLinesSet="true" horizontalCentered="false" verticalCentered="false"/>
  <pageMargins left="0.4" right="0.4" top="0.5" bottom="0.5"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&amp;K6b6157Back of House - Recipes and Costing&amp;R&amp;8 &amp;K6b6157backofhouseco.com</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E5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44"/>
    <col collapsed="false" customWidth="true" hidden="false" outlineLevel="0" max="4" min="3" style="1" width="22"/>
    <col collapsed="false" customWidth="true" hidden="false" outlineLevel="0" max="5" min="5" style="1" width="34"/>
  </cols>
  <sheetData>
    <row r="2" customFormat="false" ht="27" hidden="false" customHeight="true" outlineLevel="0" collapsed="false"/>
    <row r="3" customFormat="false" ht="27" hidden="false" customHeight="true" outlineLevel="0" collapsed="false"/>
    <row r="4" customFormat="false" ht="27" hidden="false" customHeight="true" outlineLevel="0" collapsed="false"/>
    <row r="5" customFormat="false" ht="27" hidden="false" customHeight="true" outlineLevel="0" collapsed="false"/>
    <row r="8" customFormat="false" ht="18" hidden="false" customHeight="true" outlineLevel="0" collapsed="false"/>
    <row r="9" customFormat="false" ht="25.5" hidden="false" customHeight="true" outlineLevel="0" collapsed="false">
      <c r="B9" s="2" t="s">
        <v>298</v>
      </c>
      <c r="C9" s="2"/>
      <c r="D9" s="2"/>
      <c r="E9" s="2"/>
    </row>
    <row r="10" customFormat="false" ht="15" hidden="false" customHeight="true" outlineLevel="0" collapsed="false">
      <c r="B10" s="3" t="s">
        <v>299</v>
      </c>
      <c r="C10" s="3"/>
      <c r="D10" s="3"/>
      <c r="E10" s="3"/>
    </row>
    <row r="12" customFormat="false" ht="18.75" hidden="false" customHeight="true" outlineLevel="0" collapsed="false">
      <c r="B12" s="15" t="s">
        <v>300</v>
      </c>
      <c r="C12" s="8"/>
      <c r="D12" s="8"/>
      <c r="E12" s="8"/>
    </row>
    <row r="13" customFormat="false" ht="15" hidden="false" customHeight="true" outlineLevel="0" collapsed="false">
      <c r="B13" s="13" t="s">
        <v>301</v>
      </c>
      <c r="C13" s="13"/>
      <c r="D13" s="13"/>
      <c r="E13" s="13"/>
    </row>
    <row r="14" customFormat="false" ht="19.5" hidden="false" customHeight="true" outlineLevel="0" collapsed="false">
      <c r="B14" s="99" t="s">
        <v>302</v>
      </c>
      <c r="C14" s="100" t="n">
        <v>8</v>
      </c>
    </row>
    <row r="15" customFormat="false" ht="19.5" hidden="false" customHeight="true" outlineLevel="0" collapsed="false">
      <c r="B15" s="99" t="s">
        <v>303</v>
      </c>
      <c r="C15" s="101" t="n">
        <f aca="false">COUNTIF(Dashboard!$J$20:$J$27,"BELOW TARGET")</f>
        <v>3</v>
      </c>
    </row>
    <row r="16" customFormat="false" ht="19.5" hidden="false" customHeight="true" outlineLevel="0" collapsed="false">
      <c r="B16" s="99" t="s">
        <v>304</v>
      </c>
      <c r="C16" s="101" t="n">
        <f aca="false">COUNTIF(Dashboard!$L$20:$L$27,"BELOW TARGET")</f>
        <v>3</v>
      </c>
    </row>
    <row r="17" customFormat="false" ht="19.5" hidden="false" customHeight="true" outlineLevel="0" collapsed="false">
      <c r="B17" s="99" t="s">
        <v>305</v>
      </c>
      <c r="C17" s="101" t="n">
        <f aca="false">COUNTIF(Dashboard!$K$20:$K$27,"&lt;0")</f>
        <v>0</v>
      </c>
    </row>
    <row r="19" customFormat="false" ht="42" hidden="false" customHeight="true" outlineLevel="0" collapsed="false">
      <c r="B19" s="102" t="str">
        <f aca="false">"You have costed "&amp;8&amp;" dishes. "&amp;COUNTIF(Dashboard!$J$20:$J$27,"BELOW TARGET")&amp;" miss your counter margin target and "&amp;COUNTIF(Dashboard!$L$20:$L$27,"BELOW TARGET")&amp;" miss it on delivery. A cafe menu runs 30 to 50 dishes — the ones not costed here are not safe, only uncounted."</f>
        <v>You have costed 8 dishes. 3 miss your counter margin target and 3 miss it on delivery. A cafe menu runs 30 to 50 dishes — the ones not costed here are not safe, only uncounted.</v>
      </c>
      <c r="C19" s="102"/>
      <c r="D19" s="102"/>
      <c r="E19" s="102"/>
    </row>
    <row r="21" customFormat="false" ht="18.75" hidden="false" customHeight="true" outlineLevel="0" collapsed="false">
      <c r="B21" s="15" t="s">
        <v>306</v>
      </c>
      <c r="C21" s="8"/>
      <c r="D21" s="8"/>
      <c r="E21" s="8"/>
    </row>
    <row r="22" customFormat="false" ht="19.5" hidden="false" customHeight="true" outlineLevel="0" collapsed="false">
      <c r="B22" s="103"/>
      <c r="C22" s="103" t="s">
        <v>307</v>
      </c>
      <c r="D22" s="103" t="s">
        <v>308</v>
      </c>
      <c r="E22" s="103"/>
    </row>
    <row r="23" customFormat="false" ht="18.75" hidden="false" customHeight="true" outlineLevel="0" collapsed="false">
      <c r="B23" s="104" t="s">
        <v>309</v>
      </c>
      <c r="C23" s="105" t="s">
        <v>310</v>
      </c>
      <c r="D23" s="106" t="s">
        <v>311</v>
      </c>
    </row>
    <row r="24" customFormat="false" ht="18.75" hidden="false" customHeight="true" outlineLevel="0" collapsed="false">
      <c r="B24" s="104" t="s">
        <v>312</v>
      </c>
      <c r="C24" s="105" t="s">
        <v>313</v>
      </c>
      <c r="D24" s="106" t="s">
        <v>314</v>
      </c>
    </row>
    <row r="25" customFormat="false" ht="18.75" hidden="false" customHeight="true" outlineLevel="0" collapsed="false">
      <c r="B25" s="104" t="s">
        <v>315</v>
      </c>
      <c r="C25" s="105" t="s">
        <v>316</v>
      </c>
      <c r="D25" s="106" t="s">
        <v>317</v>
      </c>
    </row>
    <row r="26" customFormat="false" ht="18.75" hidden="false" customHeight="true" outlineLevel="0" collapsed="false">
      <c r="B26" s="104" t="s">
        <v>318</v>
      </c>
      <c r="C26" s="105" t="s">
        <v>319</v>
      </c>
      <c r="D26" s="106" t="s">
        <v>320</v>
      </c>
    </row>
    <row r="27" customFormat="false" ht="18.75" hidden="false" customHeight="true" outlineLevel="0" collapsed="false">
      <c r="B27" s="104" t="s">
        <v>321</v>
      </c>
      <c r="C27" s="105" t="s">
        <v>322</v>
      </c>
      <c r="D27" s="106" t="s">
        <v>322</v>
      </c>
    </row>
    <row r="28" customFormat="false" ht="18.75" hidden="false" customHeight="true" outlineLevel="0" collapsed="false">
      <c r="B28" s="104" t="s">
        <v>323</v>
      </c>
      <c r="C28" s="105" t="s">
        <v>322</v>
      </c>
      <c r="D28" s="106" t="s">
        <v>322</v>
      </c>
    </row>
    <row r="29" customFormat="false" ht="18.75" hidden="false" customHeight="true" outlineLevel="0" collapsed="false">
      <c r="B29" s="104" t="s">
        <v>324</v>
      </c>
      <c r="C29" s="105" t="s">
        <v>325</v>
      </c>
      <c r="D29" s="106" t="s">
        <v>326</v>
      </c>
    </row>
    <row r="30" customFormat="false" ht="18.75" hidden="false" customHeight="true" outlineLevel="0" collapsed="false">
      <c r="B30" s="104" t="s">
        <v>327</v>
      </c>
      <c r="C30" s="105" t="s">
        <v>328</v>
      </c>
      <c r="D30" s="106" t="s">
        <v>329</v>
      </c>
    </row>
    <row r="32" customFormat="false" ht="18.75" hidden="false" customHeight="true" outlineLevel="0" collapsed="false">
      <c r="B32" s="15" t="s">
        <v>330</v>
      </c>
      <c r="C32" s="8"/>
      <c r="D32" s="8"/>
      <c r="E32" s="8"/>
    </row>
    <row r="33" customFormat="false" ht="15" hidden="false" customHeight="true" outlineLevel="0" collapsed="false">
      <c r="B33" s="13" t="s">
        <v>331</v>
      </c>
      <c r="C33" s="13"/>
      <c r="D33" s="13"/>
      <c r="E33" s="13"/>
    </row>
    <row r="34" customFormat="false" ht="19.5" hidden="false" customHeight="true" outlineLevel="0" collapsed="false">
      <c r="B34" s="19" t="s">
        <v>332</v>
      </c>
      <c r="C34" s="107" t="n">
        <v>50</v>
      </c>
    </row>
    <row r="36" customFormat="false" ht="18" hidden="false" customHeight="true" outlineLevel="0" collapsed="false">
      <c r="B36" s="99" t="s">
        <v>333</v>
      </c>
      <c r="C36" s="108" t="n">
        <v>8</v>
      </c>
      <c r="D36" s="109" t="n">
        <f aca="false">$C36*$C$34</f>
        <v>400</v>
      </c>
    </row>
    <row r="37" customFormat="false" ht="18" hidden="false" customHeight="true" outlineLevel="0" collapsed="false">
      <c r="B37" s="99" t="s">
        <v>334</v>
      </c>
      <c r="C37" s="108" t="n">
        <v>10</v>
      </c>
      <c r="D37" s="109" t="n">
        <f aca="false">$C37*$C$34</f>
        <v>500</v>
      </c>
    </row>
    <row r="38" customFormat="false" ht="18" hidden="false" customHeight="true" outlineLevel="0" collapsed="false">
      <c r="B38" s="99" t="s">
        <v>335</v>
      </c>
      <c r="C38" s="108" t="n">
        <v>6</v>
      </c>
      <c r="D38" s="109" t="n">
        <f aca="false">$C38*$C$34</f>
        <v>300</v>
      </c>
    </row>
    <row r="39" customFormat="false" ht="18" hidden="false" customHeight="true" outlineLevel="0" collapsed="false">
      <c r="B39" s="99" t="s">
        <v>336</v>
      </c>
      <c r="C39" s="108" t="n">
        <v>13</v>
      </c>
      <c r="D39" s="109" t="n">
        <f aca="false">$C39*$C$34</f>
        <v>650</v>
      </c>
    </row>
    <row r="40" customFormat="false" ht="15.75" hidden="false" customHeight="true" outlineLevel="0" collapsed="false">
      <c r="B40" s="110" t="s">
        <v>337</v>
      </c>
      <c r="C40" s="111" t="n">
        <f aca="false">SUM($C$36:$C$39)</f>
        <v>37</v>
      </c>
      <c r="D40" s="112" t="n">
        <f aca="false">SUM($D$36:$D$39)</f>
        <v>1850</v>
      </c>
    </row>
    <row r="42" customFormat="false" ht="39.75" hidden="false" customHeight="true" outlineLevel="0" collapsed="false">
      <c r="B42" s="102" t="str">
        <f aca="false">"About "&amp;TEXT($C$40,"#,##0")&amp;" hours of your own time, worth "&amp;TEXT($D$40,"$#,##0")&amp;" at the figure above — roughly "&amp;TEXT(IFERROR($D$40/79,0),"#,##0")&amp;" times the price of the finished file. And that is the first build only; every correction afterwards is yours too."</f>
        <v>About 37 hours of your own time, worth $1,850 at the figure above — roughly 23 times the price of the finished file. And that is the first build only; every correction afterwards is yours too.</v>
      </c>
      <c r="C42" s="102"/>
      <c r="D42" s="102"/>
      <c r="E42" s="102"/>
    </row>
    <row r="44" customFormat="false" ht="18.75" hidden="false" customHeight="true" outlineLevel="0" collapsed="false">
      <c r="B44" s="15" t="s">
        <v>338</v>
      </c>
      <c r="C44" s="8"/>
      <c r="D44" s="8"/>
      <c r="E44" s="8"/>
    </row>
    <row r="45" customFormat="false" ht="43.5" hidden="false" customHeight="true" outlineLevel="0" collapsed="false">
      <c r="B45" s="113" t="s">
        <v>339</v>
      </c>
      <c r="C45" s="113"/>
      <c r="D45" s="113"/>
      <c r="E45" s="113"/>
    </row>
    <row r="47" customFormat="false" ht="15.75" hidden="false" customHeight="true" outlineLevel="0" collapsed="false">
      <c r="B47" s="114" t="s">
        <v>327</v>
      </c>
      <c r="C47" s="115" t="s">
        <v>329</v>
      </c>
      <c r="D47" s="21" t="s">
        <v>340</v>
      </c>
    </row>
    <row r="49" customFormat="false" ht="30" hidden="false" customHeight="true" outlineLevel="0" collapsed="false">
      <c r="B49" s="116" t="s">
        <v>341</v>
      </c>
      <c r="C49" s="116"/>
      <c r="D49" s="116"/>
      <c r="E49" s="116"/>
    </row>
    <row r="51" customFormat="false" ht="18.75" hidden="false" customHeight="true" outlineLevel="0" collapsed="false">
      <c r="B51" s="15" t="s">
        <v>342</v>
      </c>
      <c r="C51" s="8"/>
      <c r="D51" s="8"/>
      <c r="E51" s="8"/>
    </row>
    <row r="52" customFormat="false" ht="31.5" hidden="false" customHeight="true" outlineLevel="0" collapsed="false">
      <c r="B52" s="113" t="s">
        <v>343</v>
      </c>
      <c r="C52" s="113"/>
      <c r="D52" s="113"/>
      <c r="E52" s="113"/>
    </row>
    <row r="54" customFormat="false" ht="30" hidden="false" customHeight="true" outlineLevel="0" collapsed="false">
      <c r="B54" s="116" t="s">
        <v>344</v>
      </c>
      <c r="C54" s="116"/>
      <c r="D54" s="116"/>
      <c r="E54" s="116"/>
    </row>
    <row r="56" customFormat="false" ht="27.75" hidden="false" customHeight="true" outlineLevel="0" collapsed="false">
      <c r="B56" s="117" t="s">
        <v>345</v>
      </c>
      <c r="C56" s="117"/>
      <c r="D56" s="117"/>
      <c r="E56" s="117"/>
    </row>
    <row r="58" customFormat="false" ht="15" hidden="false" customHeight="true" outlineLevel="0" collapsed="false">
      <c r="B58" s="13" t="s">
        <v>346</v>
      </c>
      <c r="C58" s="13"/>
      <c r="D58" s="13"/>
      <c r="E58" s="13"/>
    </row>
    <row r="59" customFormat="false" ht="15" hidden="false" customHeight="true" outlineLevel="0" collapsed="false">
      <c r="B59" s="13" t="s">
        <v>57</v>
      </c>
      <c r="C59" s="13"/>
      <c r="D59" s="13"/>
      <c r="E59" s="13"/>
    </row>
  </sheetData>
  <sheetProtection sheet="true" password="b7e1" objects="true" scenarios="true" formatCells="false" formatColumns="false" formatRows="false" sort="false" autoFilter="false"/>
  <mergeCells count="13">
    <mergeCell ref="B9:E9"/>
    <mergeCell ref="B10:E10"/>
    <mergeCell ref="B13:E13"/>
    <mergeCell ref="B19:E19"/>
    <mergeCell ref="B33:E33"/>
    <mergeCell ref="B42:E42"/>
    <mergeCell ref="B45:E45"/>
    <mergeCell ref="B49:E49"/>
    <mergeCell ref="B52:E52"/>
    <mergeCell ref="B54:E54"/>
    <mergeCell ref="B56:E56"/>
    <mergeCell ref="B58:E58"/>
    <mergeCell ref="B59:E59"/>
  </mergeCells>
  <hyperlinks>
    <hyperlink ref="B49" r:id="rId1" display="Click this line to open Recipes and Costing on our checkout — it opens in your browser."/>
    <hyperlink ref="B54" r:id="rId2" display="Click this line to book twenty minutes with us, free of charge."/>
  </hyperlinks>
  <printOptions headings="false" gridLines="false" gridLinesSet="true" horizontalCentered="false" verticalCentered="false"/>
  <pageMargins left="0.4" right="0.4" top="0.5" bottom="0.5"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&amp;L&amp;8 &amp;K6b6157Back of House - Recipes and Costing&amp;R&amp;8 &amp;K6b6157backofhouseco.com</oddFooter>
  </headerFooter>
  <drawing r:id="rId3"/>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2026-09-17T10:53:54Z</dcterms:created>
  <dc:creator>openpyxl</dc:creator>
  <dc:description/>
  <dc:language>en-US</dc:language>
  <cp:lastModifiedBy/>
  <dcterms:modified xsi:type="dcterms:W3CDTF">2026-09-17T10:55:30Z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